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defaultThemeVersion="124226"/>
  <xr:revisionPtr revIDLastSave="0" documentId="13_ncr:1_{ABAB6AEF-5A9D-4B64-A5C0-2E4B3D45F931}" xr6:coauthVersionLast="46" xr6:coauthVersionMax="46" xr10:uidLastSave="{00000000-0000-0000-0000-000000000000}"/>
  <bookViews>
    <workbookView xWindow="-120" yWindow="-120" windowWidth="20730" windowHeight="11160" tabRatio="961" firstSheet="9" activeTab="15" xr2:uid="{00000000-000D-0000-FFFF-FFFF00000000}"/>
  </bookViews>
  <sheets>
    <sheet name="(1) Planeación" sheetId="19" r:id="rId1"/>
    <sheet name="(2) Control Interno" sheetId="17" r:id="rId2"/>
    <sheet name="(3) Juridica" sheetId="9" r:id="rId3"/>
    <sheet name="(4) Calidad" sheetId="15" r:id="rId4"/>
    <sheet name="(5) Talento Humano" sheetId="11" r:id="rId5"/>
    <sheet name="(6) Seguridad y Salud T" sheetId="20" r:id="rId6"/>
    <sheet name="(7) Sistemas" sheetId="13" r:id="rId7"/>
    <sheet name="(8) Gestión Documental" sheetId="14" r:id="rId8"/>
    <sheet name="(9) Cartera" sheetId="28" r:id="rId9"/>
    <sheet name="(10) Contabilidad" sheetId="1" r:id="rId10"/>
    <sheet name="(11) Presupuesto" sheetId="3" r:id="rId11"/>
    <sheet name="(12) Tesorería" sheetId="5" r:id="rId12"/>
    <sheet name="(13) Facturacion y glosas" sheetId="36" r:id="rId13"/>
    <sheet name="(14) Compras, bienes y suminis" sheetId="6" r:id="rId14"/>
    <sheet name="(15) Mantenimiento" sheetId="37" r:id="rId15"/>
    <sheet name="Evaluación Control Int" sheetId="38" r:id="rId16"/>
    <sheet name="Resumen" sheetId="21" state="hidden" r:id="rId17"/>
    <sheet name="Evolución" sheetId="22" state="hidden" r:id="rId18"/>
    <sheet name="Listas" sheetId="4" state="hidden" r:id="rId19"/>
    <sheet name="Impactos" sheetId="24" state="hidden" r:id="rId20"/>
    <sheet name="Idea Zonas" sheetId="26" state="hidden" r:id="rId21"/>
    <sheet name="Hoja1" sheetId="35" state="hidden" r:id="rId22"/>
    <sheet name="formatos pre" sheetId="34"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xlnm._FilterDatabase" localSheetId="7" hidden="1">'(8) Gestión Documental'!$Q$10:$Q$12</definedName>
    <definedName name="_xlnm._FilterDatabase" localSheetId="18" hidden="1">Listas!$AC$12:$AC$15</definedName>
    <definedName name="_xlnm.Print_Area" localSheetId="2">'(3) Juridica'!$A$1:$V$14</definedName>
    <definedName name="_xlnm.Print_Area" localSheetId="17">Evolución!$B$1:$Q$17</definedName>
    <definedName name="_xlnm.Print_Area" localSheetId="19">Impactos!$A$1:$G$12</definedName>
    <definedName name="_xlnm.Print_Area" localSheetId="16">Resumen!$A$1:$O$32</definedName>
    <definedName name="_xlnm.Criteria" localSheetId="18">Listas!$AC$12:$AC$15</definedName>
    <definedName name="_xlnm.Print_Titles" localSheetId="9">'(10) Contabilidad'!$8:$9</definedName>
    <definedName name="_xlnm.Print_Titles" localSheetId="10">'(11) Presupuesto'!$8:$9</definedName>
    <definedName name="_xlnm.Print_Titles" localSheetId="11">'(12) Tesorería'!$8:$9</definedName>
    <definedName name="_xlnm.Print_Titles" localSheetId="1">'(2) Control Interno'!$8:$9</definedName>
    <definedName name="_xlnm.Print_Titles" localSheetId="2">'(3) Juridica'!$8:$9</definedName>
    <definedName name="_xlnm.Print_Titles" localSheetId="4">'(5) Talento Humano'!$8:$9</definedName>
    <definedName name="_xlnm.Print_Titles" localSheetId="5">'(6) Seguridad y Salud T'!$8:$9</definedName>
    <definedName name="_xlnm.Print_Titles" localSheetId="6">'(7) Sistemas'!$8:$9</definedName>
    <definedName name="_xlnm.Print_Titles" localSheetId="7">'(8) Gestión Documental'!$8:$9</definedName>
    <definedName name="Z_31578BE1_199E_4DDD_BD28_180CDA7042A3_.wvu.Cols" localSheetId="0" hidden="1">'(1) Planeación'!$D:$D,'(1) Planeación'!$F:$F,'(1) Planeación'!$K:$M,'(1) Planeación'!$Q:$Q,'(1) Planeación'!$S:$T,'(1) Planeación'!$V:$V</definedName>
    <definedName name="Z_31578BE1_199E_4DDD_BD28_180CDA7042A3_.wvu.Cols" localSheetId="1" hidden="1">'(2) Control Interno'!$D:$D,'(2) Control Interno'!$F:$F,'(2) Control Interno'!$K:$M,'(2) Control Interno'!$Q:$Q,'(2) Control Interno'!$S:$T,'(2) Control Interno'!$V:$X</definedName>
    <definedName name="Z_31578BE1_199E_4DDD_BD28_180CDA7042A3_.wvu.Cols" localSheetId="2" hidden="1">'(3) Juridica'!$D:$D,'(3) Juridica'!$F:$F,'(3) Juridica'!$K:$M,'(3) Juridica'!$Q:$Q,'(3) Juridica'!$S:$T,'(3) Juridica'!$V:$X</definedName>
    <definedName name="Z_31578BE1_199E_4DDD_BD28_180CDA7042A3_.wvu.Cols" localSheetId="3" hidden="1">'(4) Calidad'!$D:$D,'(4) Calidad'!$F:$F,'(4) Calidad'!$K:$M,'(4) Calidad'!$Q:$Q,'(4) Calidad'!$S:$T,'(4) Calidad'!$V:$X</definedName>
    <definedName name="Z_31578BE1_199E_4DDD_BD28_180CDA7042A3_.wvu.Cols" localSheetId="4" hidden="1">'(5) Talento Humano'!$D:$D,'(5) Talento Humano'!$F:$F,'(5) Talento Humano'!$K:$M,'(5) Talento Humano'!$Q:$Q,'(5) Talento Humano'!$S:$T,'(5) Talento Humano'!$V:$X</definedName>
    <definedName name="Z_31578BE1_199E_4DDD_BD28_180CDA7042A3_.wvu.Cols" localSheetId="5" hidden="1">'(6) Seguridad y Salud T'!$D:$D,'(6) Seguridad y Salud T'!$F:$F,'(6) Seguridad y Salud T'!$K:$M,'(6) Seguridad y Salud T'!$Q:$Q,'(6) Seguridad y Salud T'!$S:$T,'(6) Seguridad y Salud T'!$V:$X</definedName>
    <definedName name="Z_31578BE1_199E_4DDD_BD28_180CDA7042A3_.wvu.Cols" localSheetId="16" hidden="1">Resumen!$Q:$AE,Resumen!$AH:$AX</definedName>
    <definedName name="Z_31578BE1_199E_4DDD_BD28_180CDA7042A3_.wvu.PrintArea" localSheetId="9" hidden="1">'(10) Contabilidad'!$A$1:$V$12</definedName>
    <definedName name="Z_31578BE1_199E_4DDD_BD28_180CDA7042A3_.wvu.PrintArea" localSheetId="10" hidden="1">'(11) Presupuesto'!$A$1:$V$11</definedName>
    <definedName name="Z_31578BE1_199E_4DDD_BD28_180CDA7042A3_.wvu.PrintArea" localSheetId="11" hidden="1">'(12) Tesorería'!$A$1:$V$13</definedName>
    <definedName name="Z_31578BE1_199E_4DDD_BD28_180CDA7042A3_.wvu.PrintArea" localSheetId="12" hidden="1">'(13) Facturacion y glosas'!$A$1:$V$14</definedName>
    <definedName name="Z_31578BE1_199E_4DDD_BD28_180CDA7042A3_.wvu.PrintArea" localSheetId="13" hidden="1">'(14) Compras, bienes y suminis'!$A$1:$V$12</definedName>
    <definedName name="Z_31578BE1_199E_4DDD_BD28_180CDA7042A3_.wvu.PrintArea" localSheetId="14" hidden="1">'(15) Mantenimiento'!$A$1:$V$11</definedName>
    <definedName name="Z_31578BE1_199E_4DDD_BD28_180CDA7042A3_.wvu.PrintArea" localSheetId="1" hidden="1">'(2) Control Interno'!$A$2:$V$18</definedName>
    <definedName name="Z_31578BE1_199E_4DDD_BD28_180CDA7042A3_.wvu.PrintArea" localSheetId="2" hidden="1">'(3) Juridica'!$A$1:$V$14</definedName>
    <definedName name="Z_31578BE1_199E_4DDD_BD28_180CDA7042A3_.wvu.PrintArea" localSheetId="3" hidden="1">'(4) Calidad'!$A$1:$V$12</definedName>
    <definedName name="Z_31578BE1_199E_4DDD_BD28_180CDA7042A3_.wvu.PrintArea" localSheetId="4" hidden="1">'(5) Talento Humano'!$A$1:$V$13</definedName>
    <definedName name="Z_31578BE1_199E_4DDD_BD28_180CDA7042A3_.wvu.PrintArea" localSheetId="5" hidden="1">'(6) Seguridad y Salud T'!$A$1:$V$10</definedName>
    <definedName name="Z_31578BE1_199E_4DDD_BD28_180CDA7042A3_.wvu.PrintArea" localSheetId="6" hidden="1">'(7) Sistemas'!$A$1:$U$13</definedName>
    <definedName name="Z_31578BE1_199E_4DDD_BD28_180CDA7042A3_.wvu.PrintArea" localSheetId="7" hidden="1">'(8) Gestión Documental'!$A$1:$V$12</definedName>
    <definedName name="Z_31578BE1_199E_4DDD_BD28_180CDA7042A3_.wvu.PrintArea" localSheetId="8" hidden="1">'(9) Cartera'!$A$1:$V$12</definedName>
    <definedName name="Z_31578BE1_199E_4DDD_BD28_180CDA7042A3_.wvu.PrintArea" localSheetId="17" hidden="1">Evolución!$K$1:$Q$10</definedName>
    <definedName name="Z_31578BE1_199E_4DDD_BD28_180CDA7042A3_.wvu.PrintArea" localSheetId="19" hidden="1">Impactos!$A$1:$G$12</definedName>
    <definedName name="Z_31578BE1_199E_4DDD_BD28_180CDA7042A3_.wvu.PrintArea" localSheetId="16" hidden="1">Resumen!$A$1:$O$30</definedName>
    <definedName name="Z_31578BE1_199E_4DDD_BD28_180CDA7042A3_.wvu.PrintTitles" localSheetId="9" hidden="1">'(10) Contabilidad'!$8:$9</definedName>
    <definedName name="Z_31578BE1_199E_4DDD_BD28_180CDA7042A3_.wvu.PrintTitles" localSheetId="10" hidden="1">'(11) Presupuesto'!$8:$9</definedName>
    <definedName name="Z_31578BE1_199E_4DDD_BD28_180CDA7042A3_.wvu.PrintTitles" localSheetId="11" hidden="1">'(12) Tesorería'!$8:$9</definedName>
    <definedName name="Z_31578BE1_199E_4DDD_BD28_180CDA7042A3_.wvu.PrintTitles" localSheetId="1" hidden="1">'(2) Control Interno'!$8:$9</definedName>
    <definedName name="Z_31578BE1_199E_4DDD_BD28_180CDA7042A3_.wvu.PrintTitles" localSheetId="2" hidden="1">'(3) Juridica'!$8:$9</definedName>
    <definedName name="Z_31578BE1_199E_4DDD_BD28_180CDA7042A3_.wvu.PrintTitles" localSheetId="4" hidden="1">'(5) Talento Humano'!$8:$9</definedName>
    <definedName name="Z_31578BE1_199E_4DDD_BD28_180CDA7042A3_.wvu.PrintTitles" localSheetId="5" hidden="1">'(6) Seguridad y Salud T'!$8:$9</definedName>
    <definedName name="Z_31578BE1_199E_4DDD_BD28_180CDA7042A3_.wvu.PrintTitles" localSheetId="6" hidden="1">'(7) Sistemas'!$8:$9</definedName>
    <definedName name="Z_31578BE1_199E_4DDD_BD28_180CDA7042A3_.wvu.PrintTitles" localSheetId="7" hidden="1">'(8) Gestión Documental'!$8:$9</definedName>
    <definedName name="Z_42BB51DB_DC3E_4DA5_9499_5574EB19780E_.wvu.Cols" localSheetId="0" hidden="1">'(1) Planeación'!$D:$D,'(1) Planeación'!$F:$F,'(1) Planeación'!$K:$M,'(1) Planeación'!$Q:$Q,'(1) Planeación'!$S:$T,'(1) Planeación'!$V:$V</definedName>
    <definedName name="Z_42BB51DB_DC3E_4DA5_9499_5574EB19780E_.wvu.Cols" localSheetId="9" hidden="1">'(10) Contabilidad'!$D:$D,'(10) Contabilidad'!$F:$F,'(10) Contabilidad'!$K:$M,'(10) Contabilidad'!$Q:$Q,'(10) Contabilidad'!$S:$T,'(10) Contabilidad'!$V:$X</definedName>
    <definedName name="Z_42BB51DB_DC3E_4DA5_9499_5574EB19780E_.wvu.Cols" localSheetId="10" hidden="1">'(11) Presupuesto'!$D:$D,'(11) Presupuesto'!$F:$F,'(11) Presupuesto'!$K:$M,'(11) Presupuesto'!$Q:$Q,'(11) Presupuesto'!$S:$T,'(11) Presupuesto'!$V:$X</definedName>
    <definedName name="Z_42BB51DB_DC3E_4DA5_9499_5574EB19780E_.wvu.Cols" localSheetId="11" hidden="1">'(12) Tesorería'!$D:$D,'(12) Tesorería'!$F:$F,'(12) Tesorería'!$K:$M,'(12) Tesorería'!$Q:$Q,'(12) Tesorería'!$S:$T,'(12) Tesorería'!$V:$X</definedName>
    <definedName name="Z_42BB51DB_DC3E_4DA5_9499_5574EB19780E_.wvu.Cols" localSheetId="1" hidden="1">'(2) Control Interno'!$D:$D,'(2) Control Interno'!$F:$F,'(2) Control Interno'!$K:$M,'(2) Control Interno'!$Q:$Q,'(2) Control Interno'!$S:$T,'(2) Control Interno'!$V:$X</definedName>
    <definedName name="Z_42BB51DB_DC3E_4DA5_9499_5574EB19780E_.wvu.Cols" localSheetId="2" hidden="1">'(3) Juridica'!$D:$D,'(3) Juridica'!$F:$F,'(3) Juridica'!$K:$M,'(3) Juridica'!$Q:$Q,'(3) Juridica'!$S:$T,'(3) Juridica'!$V:$X</definedName>
    <definedName name="Z_42BB51DB_DC3E_4DA5_9499_5574EB19780E_.wvu.Cols" localSheetId="3" hidden="1">'(4) Calidad'!$D:$D,'(4) Calidad'!$F:$F,'(4) Calidad'!$K:$M,'(4) Calidad'!$Q:$Q,'(4) Calidad'!$S:$T,'(4) Calidad'!$V:$X</definedName>
    <definedName name="Z_42BB51DB_DC3E_4DA5_9499_5574EB19780E_.wvu.Cols" localSheetId="4" hidden="1">'(5) Talento Humano'!$D:$D,'(5) Talento Humano'!$F:$F,'(5) Talento Humano'!$K:$M,'(5) Talento Humano'!$Q:$Q,'(5) Talento Humano'!$S:$T,'(5) Talento Humano'!$V:$X</definedName>
    <definedName name="Z_42BB51DB_DC3E_4DA5_9499_5574EB19780E_.wvu.Cols" localSheetId="5" hidden="1">'(6) Seguridad y Salud T'!$D:$D,'(6) Seguridad y Salud T'!$F:$F,'(6) Seguridad y Salud T'!$K:$M,'(6) Seguridad y Salud T'!$Q:$Q,'(6) Seguridad y Salud T'!$S:$T,'(6) Seguridad y Salud T'!$V:$X</definedName>
    <definedName name="Z_42BB51DB_DC3E_4DA5_9499_5574EB19780E_.wvu.Cols" localSheetId="6" hidden="1">'(7) Sistemas'!#REF!,'(7) Sistemas'!$E:$E,'(7) Sistemas'!$J:$L,'(7) Sistemas'!$P:$P,'(7) Sistemas'!$R:$S,'(7) Sistemas'!$U:$W</definedName>
    <definedName name="Z_42BB51DB_DC3E_4DA5_9499_5574EB19780E_.wvu.Cols" localSheetId="7" hidden="1">'(8) Gestión Documental'!$D:$D,'(8) Gestión Documental'!$F:$F,'(8) Gestión Documental'!$K:$M,'(8) Gestión Documental'!$Q:$Q,'(8) Gestión Documental'!$S:$T,'(8) Gestión Documental'!$V:$X</definedName>
    <definedName name="Z_42BB51DB_DC3E_4DA5_9499_5574EB19780E_.wvu.Cols" localSheetId="16" hidden="1">Resumen!$Q:$AE,Resumen!$AH:$AX</definedName>
    <definedName name="Z_42BB51DB_DC3E_4DA5_9499_5574EB19780E_.wvu.PrintArea" localSheetId="9" hidden="1">'(10) Contabilidad'!$A$1:$V$12</definedName>
    <definedName name="Z_42BB51DB_DC3E_4DA5_9499_5574EB19780E_.wvu.PrintArea" localSheetId="10" hidden="1">'(11) Presupuesto'!$A$1:$V$11</definedName>
    <definedName name="Z_42BB51DB_DC3E_4DA5_9499_5574EB19780E_.wvu.PrintArea" localSheetId="11" hidden="1">'(12) Tesorería'!$A$1:$V$13</definedName>
    <definedName name="Z_42BB51DB_DC3E_4DA5_9499_5574EB19780E_.wvu.PrintArea" localSheetId="12" hidden="1">'(13) Facturacion y glosas'!$A$1:$V$14</definedName>
    <definedName name="Z_42BB51DB_DC3E_4DA5_9499_5574EB19780E_.wvu.PrintArea" localSheetId="13" hidden="1">'(14) Compras, bienes y suminis'!$A$1:$V$12</definedName>
    <definedName name="Z_42BB51DB_DC3E_4DA5_9499_5574EB19780E_.wvu.PrintArea" localSheetId="14" hidden="1">'(15) Mantenimiento'!$A$1:$V$11</definedName>
    <definedName name="Z_42BB51DB_DC3E_4DA5_9499_5574EB19780E_.wvu.PrintArea" localSheetId="1" hidden="1">'(2) Control Interno'!$A$2:$V$18</definedName>
    <definedName name="Z_42BB51DB_DC3E_4DA5_9499_5574EB19780E_.wvu.PrintArea" localSheetId="2" hidden="1">'(3) Juridica'!$A$1:$V$14</definedName>
    <definedName name="Z_42BB51DB_DC3E_4DA5_9499_5574EB19780E_.wvu.PrintArea" localSheetId="3" hidden="1">'(4) Calidad'!$A$1:$V$12</definedName>
    <definedName name="Z_42BB51DB_DC3E_4DA5_9499_5574EB19780E_.wvu.PrintArea" localSheetId="4" hidden="1">'(5) Talento Humano'!$A$1:$V$13</definedName>
    <definedName name="Z_42BB51DB_DC3E_4DA5_9499_5574EB19780E_.wvu.PrintArea" localSheetId="5" hidden="1">'(6) Seguridad y Salud T'!$A$1:$V$10</definedName>
    <definedName name="Z_42BB51DB_DC3E_4DA5_9499_5574EB19780E_.wvu.PrintArea" localSheetId="6" hidden="1">'(7) Sistemas'!$A$1:$U$13</definedName>
    <definedName name="Z_42BB51DB_DC3E_4DA5_9499_5574EB19780E_.wvu.PrintArea" localSheetId="7" hidden="1">'(8) Gestión Documental'!$A$1:$V$12</definedName>
    <definedName name="Z_42BB51DB_DC3E_4DA5_9499_5574EB19780E_.wvu.PrintArea" localSheetId="8" hidden="1">'(9) Cartera'!$A$1:$V$12</definedName>
    <definedName name="Z_42BB51DB_DC3E_4DA5_9499_5574EB19780E_.wvu.PrintArea" localSheetId="17" hidden="1">Evolución!$K$1:$Q$10</definedName>
    <definedName name="Z_42BB51DB_DC3E_4DA5_9499_5574EB19780E_.wvu.PrintArea" localSheetId="19" hidden="1">Impactos!$A$1:$G$12</definedName>
    <definedName name="Z_42BB51DB_DC3E_4DA5_9499_5574EB19780E_.wvu.PrintArea" localSheetId="16" hidden="1">Resumen!$A$1:$O$30</definedName>
    <definedName name="Z_42BB51DB_DC3E_4DA5_9499_5574EB19780E_.wvu.PrintTitles" localSheetId="9" hidden="1">'(10) Contabilidad'!$8:$9</definedName>
    <definedName name="Z_42BB51DB_DC3E_4DA5_9499_5574EB19780E_.wvu.PrintTitles" localSheetId="10" hidden="1">'(11) Presupuesto'!$8:$9</definedName>
    <definedName name="Z_42BB51DB_DC3E_4DA5_9499_5574EB19780E_.wvu.PrintTitles" localSheetId="11" hidden="1">'(12) Tesorería'!$8:$9</definedName>
    <definedName name="Z_42BB51DB_DC3E_4DA5_9499_5574EB19780E_.wvu.PrintTitles" localSheetId="1" hidden="1">'(2) Control Interno'!$8:$9</definedName>
    <definedName name="Z_42BB51DB_DC3E_4DA5_9499_5574EB19780E_.wvu.PrintTitles" localSheetId="2" hidden="1">'(3) Juridica'!$8:$9</definedName>
    <definedName name="Z_42BB51DB_DC3E_4DA5_9499_5574EB19780E_.wvu.PrintTitles" localSheetId="4" hidden="1">'(5) Talento Humano'!$8:$9</definedName>
    <definedName name="Z_42BB51DB_DC3E_4DA5_9499_5574EB19780E_.wvu.PrintTitles" localSheetId="5" hidden="1">'(6) Seguridad y Salud T'!$8:$9</definedName>
    <definedName name="Z_42BB51DB_DC3E_4DA5_9499_5574EB19780E_.wvu.PrintTitles" localSheetId="6" hidden="1">'(7) Sistemas'!$8:$9</definedName>
    <definedName name="Z_42BB51DB_DC3E_4DA5_9499_5574EB19780E_.wvu.PrintTitles" localSheetId="7" hidden="1">'(8) Gestión Documental'!$8:$9</definedName>
    <definedName name="Z_4890415D_ABA4_4363_9A7D_9DAD39F08A9F_.wvu.Cols" localSheetId="0" hidden="1">'(1) Planeación'!$D:$D,'(1) Planeación'!$F:$F,'(1) Planeación'!$K:$M,'(1) Planeación'!$Q:$Q,'(1) Planeación'!$S:$T,'(1) Planeación'!$V:$V</definedName>
    <definedName name="Z_4890415D_ABA4_4363_9A7D_9DAD39F08A9F_.wvu.Cols" localSheetId="16" hidden="1">Resumen!$Q:$AE,Resumen!$AH:$AX</definedName>
    <definedName name="Z_4890415D_ABA4_4363_9A7D_9DAD39F08A9F_.wvu.PrintArea" localSheetId="9" hidden="1">'(10) Contabilidad'!$A$1:$V$12</definedName>
    <definedName name="Z_4890415D_ABA4_4363_9A7D_9DAD39F08A9F_.wvu.PrintArea" localSheetId="10" hidden="1">'(11) Presupuesto'!$A$1:$V$11</definedName>
    <definedName name="Z_4890415D_ABA4_4363_9A7D_9DAD39F08A9F_.wvu.PrintArea" localSheetId="11" hidden="1">'(12) Tesorería'!$A$1:$V$13</definedName>
    <definedName name="Z_4890415D_ABA4_4363_9A7D_9DAD39F08A9F_.wvu.PrintArea" localSheetId="12" hidden="1">'(13) Facturacion y glosas'!$A$1:$V$14</definedName>
    <definedName name="Z_4890415D_ABA4_4363_9A7D_9DAD39F08A9F_.wvu.PrintArea" localSheetId="13" hidden="1">'(14) Compras, bienes y suminis'!$A$1:$V$12</definedName>
    <definedName name="Z_4890415D_ABA4_4363_9A7D_9DAD39F08A9F_.wvu.PrintArea" localSheetId="14" hidden="1">'(15) Mantenimiento'!$A$1:$V$11</definedName>
    <definedName name="Z_4890415D_ABA4_4363_9A7D_9DAD39F08A9F_.wvu.PrintArea" localSheetId="1" hidden="1">'(2) Control Interno'!$A$2:$V$13</definedName>
    <definedName name="Z_4890415D_ABA4_4363_9A7D_9DAD39F08A9F_.wvu.PrintArea" localSheetId="2" hidden="1">'(3) Juridica'!$A$1:$V$14</definedName>
    <definedName name="Z_4890415D_ABA4_4363_9A7D_9DAD39F08A9F_.wvu.PrintArea" localSheetId="3" hidden="1">'(4) Calidad'!$A$1:$V$12</definedName>
    <definedName name="Z_4890415D_ABA4_4363_9A7D_9DAD39F08A9F_.wvu.PrintArea" localSheetId="4" hidden="1">'(5) Talento Humano'!$A$1:$V$13</definedName>
    <definedName name="Z_4890415D_ABA4_4363_9A7D_9DAD39F08A9F_.wvu.PrintArea" localSheetId="5" hidden="1">'(6) Seguridad y Salud T'!$A$1:$V$10</definedName>
    <definedName name="Z_4890415D_ABA4_4363_9A7D_9DAD39F08A9F_.wvu.PrintArea" localSheetId="6" hidden="1">'(7) Sistemas'!$A$1:$U$13</definedName>
    <definedName name="Z_4890415D_ABA4_4363_9A7D_9DAD39F08A9F_.wvu.PrintArea" localSheetId="7" hidden="1">'(8) Gestión Documental'!$A$1:$V$12</definedName>
    <definedName name="Z_4890415D_ABA4_4363_9A7D_9DAD39F08A9F_.wvu.PrintArea" localSheetId="8" hidden="1">'(9) Cartera'!$A$1:$V$12</definedName>
    <definedName name="Z_4890415D_ABA4_4363_9A7D_9DAD39F08A9F_.wvu.PrintArea" localSheetId="17" hidden="1">Evolución!$K$1:$Q$10</definedName>
    <definedName name="Z_4890415D_ABA4_4363_9A7D_9DAD39F08A9F_.wvu.PrintArea" localSheetId="19" hidden="1">Impactos!$A$1:$G$12</definedName>
    <definedName name="Z_4890415D_ABA4_4363_9A7D_9DAD39F08A9F_.wvu.PrintArea" localSheetId="16" hidden="1">Resumen!$A$1:$O$30</definedName>
    <definedName name="Z_4890415D_ABA4_4363_9A7D_9DAD39F08A9F_.wvu.PrintTitles" localSheetId="9" hidden="1">'(10) Contabilidad'!$8:$9</definedName>
    <definedName name="Z_4890415D_ABA4_4363_9A7D_9DAD39F08A9F_.wvu.PrintTitles" localSheetId="10" hidden="1">'(11) Presupuesto'!$8:$9</definedName>
    <definedName name="Z_4890415D_ABA4_4363_9A7D_9DAD39F08A9F_.wvu.PrintTitles" localSheetId="11" hidden="1">'(12) Tesorería'!$8:$9</definedName>
    <definedName name="Z_4890415D_ABA4_4363_9A7D_9DAD39F08A9F_.wvu.PrintTitles" localSheetId="1" hidden="1">'(2) Control Interno'!$8:$9</definedName>
    <definedName name="Z_4890415D_ABA4_4363_9A7D_9DAD39F08A9F_.wvu.PrintTitles" localSheetId="2" hidden="1">'(3) Juridica'!$8:$9</definedName>
    <definedName name="Z_4890415D_ABA4_4363_9A7D_9DAD39F08A9F_.wvu.PrintTitles" localSheetId="4" hidden="1">'(5) Talento Humano'!$8:$9</definedName>
    <definedName name="Z_4890415D_ABA4_4363_9A7D_9DAD39F08A9F_.wvu.PrintTitles" localSheetId="5" hidden="1">'(6) Seguridad y Salud T'!$8:$9</definedName>
    <definedName name="Z_4890415D_ABA4_4363_9A7D_9DAD39F08A9F_.wvu.PrintTitles" localSheetId="6" hidden="1">'(7) Sistemas'!$8:$9</definedName>
    <definedName name="Z_4890415D_ABA4_4363_9A7D_9DAD39F08A9F_.wvu.PrintTitles" localSheetId="7" hidden="1">'(8) Gestión Documental'!$8:$9</definedName>
    <definedName name="Z_915A0EBC_A358_405B_93F7_90752DA34B9F_.wvu.Cols" localSheetId="0" hidden="1">'(1) Planeación'!$D:$D,'(1) Planeación'!$F:$F,'(1) Planeación'!$K:$M,'(1) Planeación'!$Q:$Q,'(1) Planeación'!$S:$T,'(1) Planeación'!$V:$V</definedName>
    <definedName name="Z_915A0EBC_A358_405B_93F7_90752DA34B9F_.wvu.Cols" localSheetId="1" hidden="1">'(2) Control Interno'!$D:$D,'(2) Control Interno'!$F:$F,'(2) Control Interno'!$K:$M,'(2) Control Interno'!$Q:$Q,'(2) Control Interno'!$S:$T,'(2) Control Interno'!$V:$X</definedName>
    <definedName name="Z_915A0EBC_A358_405B_93F7_90752DA34B9F_.wvu.Cols" localSheetId="2" hidden="1">'(3) Juridica'!$D:$D,'(3) Juridica'!$F:$F,'(3) Juridica'!$K:$M,'(3) Juridica'!$Q:$Q,'(3) Juridica'!$S:$T,'(3) Juridica'!$V:$X</definedName>
    <definedName name="Z_915A0EBC_A358_405B_93F7_90752DA34B9F_.wvu.Cols" localSheetId="3" hidden="1">'(4) Calidad'!$D:$D,'(4) Calidad'!$F:$F,'(4) Calidad'!$K:$M,'(4) Calidad'!$Q:$Q,'(4) Calidad'!$S:$T,'(4) Calidad'!$V:$X</definedName>
    <definedName name="Z_915A0EBC_A358_405B_93F7_90752DA34B9F_.wvu.Cols" localSheetId="4" hidden="1">'(5) Talento Humano'!$D:$D,'(5) Talento Humano'!$F:$F,'(5) Talento Humano'!$K:$M,'(5) Talento Humano'!$Q:$Q,'(5) Talento Humano'!$S:$T,'(5) Talento Humano'!$V:$X</definedName>
    <definedName name="Z_915A0EBC_A358_405B_93F7_90752DA34B9F_.wvu.Cols" localSheetId="16" hidden="1">Resumen!$Q:$AE,Resumen!$AH:$AX</definedName>
    <definedName name="Z_915A0EBC_A358_405B_93F7_90752DA34B9F_.wvu.PrintArea" localSheetId="9" hidden="1">'(10) Contabilidad'!$A$1:$V$12</definedName>
    <definedName name="Z_915A0EBC_A358_405B_93F7_90752DA34B9F_.wvu.PrintArea" localSheetId="10" hidden="1">'(11) Presupuesto'!$A$1:$V$11</definedName>
    <definedName name="Z_915A0EBC_A358_405B_93F7_90752DA34B9F_.wvu.PrintArea" localSheetId="11" hidden="1">'(12) Tesorería'!$A$1:$V$13</definedName>
    <definedName name="Z_915A0EBC_A358_405B_93F7_90752DA34B9F_.wvu.PrintArea" localSheetId="12" hidden="1">'(13) Facturacion y glosas'!$A$1:$V$14</definedName>
    <definedName name="Z_915A0EBC_A358_405B_93F7_90752DA34B9F_.wvu.PrintArea" localSheetId="13" hidden="1">'(14) Compras, bienes y suminis'!$A$1:$V$12</definedName>
    <definedName name="Z_915A0EBC_A358_405B_93F7_90752DA34B9F_.wvu.PrintArea" localSheetId="14" hidden="1">'(15) Mantenimiento'!$A$1:$V$11</definedName>
    <definedName name="Z_915A0EBC_A358_405B_93F7_90752DA34B9F_.wvu.PrintArea" localSheetId="1" hidden="1">'(2) Control Interno'!$A$2:$V$18</definedName>
    <definedName name="Z_915A0EBC_A358_405B_93F7_90752DA34B9F_.wvu.PrintArea" localSheetId="2" hidden="1">'(3) Juridica'!$A$1:$V$14</definedName>
    <definedName name="Z_915A0EBC_A358_405B_93F7_90752DA34B9F_.wvu.PrintArea" localSheetId="3" hidden="1">'(4) Calidad'!$A$1:$V$12</definedName>
    <definedName name="Z_915A0EBC_A358_405B_93F7_90752DA34B9F_.wvu.PrintArea" localSheetId="4" hidden="1">'(5) Talento Humano'!$A$1:$V$13</definedName>
    <definedName name="Z_915A0EBC_A358_405B_93F7_90752DA34B9F_.wvu.PrintArea" localSheetId="5" hidden="1">'(6) Seguridad y Salud T'!$A$1:$V$10</definedName>
    <definedName name="Z_915A0EBC_A358_405B_93F7_90752DA34B9F_.wvu.PrintArea" localSheetId="6" hidden="1">'(7) Sistemas'!$A$1:$U$13</definedName>
    <definedName name="Z_915A0EBC_A358_405B_93F7_90752DA34B9F_.wvu.PrintArea" localSheetId="7" hidden="1">'(8) Gestión Documental'!$A$1:$V$12</definedName>
    <definedName name="Z_915A0EBC_A358_405B_93F7_90752DA34B9F_.wvu.PrintArea" localSheetId="8" hidden="1">'(9) Cartera'!$A$1:$V$12</definedName>
    <definedName name="Z_915A0EBC_A358_405B_93F7_90752DA34B9F_.wvu.PrintArea" localSheetId="17" hidden="1">Evolución!$K$1:$Q$10</definedName>
    <definedName name="Z_915A0EBC_A358_405B_93F7_90752DA34B9F_.wvu.PrintArea" localSheetId="19" hidden="1">Impactos!$A$1:$G$12</definedName>
    <definedName name="Z_915A0EBC_A358_405B_93F7_90752DA34B9F_.wvu.PrintArea" localSheetId="16" hidden="1">Resumen!$A$1:$O$30</definedName>
    <definedName name="Z_915A0EBC_A358_405B_93F7_90752DA34B9F_.wvu.PrintTitles" localSheetId="9" hidden="1">'(10) Contabilidad'!$8:$9</definedName>
    <definedName name="Z_915A0EBC_A358_405B_93F7_90752DA34B9F_.wvu.PrintTitles" localSheetId="10" hidden="1">'(11) Presupuesto'!$8:$9</definedName>
    <definedName name="Z_915A0EBC_A358_405B_93F7_90752DA34B9F_.wvu.PrintTitles" localSheetId="11" hidden="1">'(12) Tesorería'!$8:$9</definedName>
    <definedName name="Z_915A0EBC_A358_405B_93F7_90752DA34B9F_.wvu.PrintTitles" localSheetId="1" hidden="1">'(2) Control Interno'!$8:$9</definedName>
    <definedName name="Z_915A0EBC_A358_405B_93F7_90752DA34B9F_.wvu.PrintTitles" localSheetId="2" hidden="1">'(3) Juridica'!$8:$9</definedName>
    <definedName name="Z_915A0EBC_A358_405B_93F7_90752DA34B9F_.wvu.PrintTitles" localSheetId="4" hidden="1">'(5) Talento Humano'!$8:$9</definedName>
    <definedName name="Z_915A0EBC_A358_405B_93F7_90752DA34B9F_.wvu.PrintTitles" localSheetId="5" hidden="1">'(6) Seguridad y Salud T'!$8:$9</definedName>
    <definedName name="Z_915A0EBC_A358_405B_93F7_90752DA34B9F_.wvu.PrintTitles" localSheetId="6" hidden="1">'(7) Sistemas'!$8:$9</definedName>
    <definedName name="Z_915A0EBC_A358_405B_93F7_90752DA34B9F_.wvu.PrintTitles" localSheetId="7" hidden="1">'(8) Gestión Documental'!$8:$9</definedName>
    <definedName name="Z_97D65C1E_976A_4956_97FC_0E8188ABCFAA_.wvu.Cols" localSheetId="0" hidden="1">'(1) Planeación'!$D:$D,'(1) Planeación'!$F:$F,'(1) Planeación'!$K:$M,'(1) Planeación'!$Q:$Q,'(1) Planeación'!$S:$T,'(1) Planeación'!$V:$V</definedName>
    <definedName name="Z_97D65C1E_976A_4956_97FC_0E8188ABCFAA_.wvu.Cols" localSheetId="9" hidden="1">'(10) Contabilidad'!$D:$D,'(10) Contabilidad'!$F:$F,'(10) Contabilidad'!$K:$M,'(10) Contabilidad'!$Q:$Q,'(10) Contabilidad'!$S:$T,'(10) Contabilidad'!$V:$X</definedName>
    <definedName name="Z_97D65C1E_976A_4956_97FC_0E8188ABCFAA_.wvu.Cols" localSheetId="10" hidden="1">'(11) Presupuesto'!$D:$D,'(11) Presupuesto'!$F:$F,'(11) Presupuesto'!$K:$M,'(11) Presupuesto'!$Q:$Q,'(11) Presupuesto'!$S:$T,'(11) Presupuesto'!$V:$X</definedName>
    <definedName name="Z_97D65C1E_976A_4956_97FC_0E8188ABCFAA_.wvu.Cols" localSheetId="11" hidden="1">'(12) Tesorería'!$D:$D,'(12) Tesorería'!$F:$F,'(12) Tesorería'!$K:$M,'(12) Tesorería'!$Q:$Q,'(12) Tesorería'!$S:$T,'(12) Tesorería'!$V:$X</definedName>
    <definedName name="Z_97D65C1E_976A_4956_97FC_0E8188ABCFAA_.wvu.Cols" localSheetId="12" hidden="1">'(13) Facturacion y glosas'!$D:$D,'(13) Facturacion y glosas'!$F:$F,'(13) Facturacion y glosas'!$K:$M,'(13) Facturacion y glosas'!$Q:$Q,'(13) Facturacion y glosas'!$S:$T,'(13) Facturacion y glosas'!$V:$X</definedName>
    <definedName name="Z_97D65C1E_976A_4956_97FC_0E8188ABCFAA_.wvu.Cols" localSheetId="13" hidden="1">'(14) Compras, bienes y suminis'!$D:$D,'(14) Compras, bienes y suminis'!$F:$F,'(14) Compras, bienes y suminis'!$K:$M,'(14) Compras, bienes y suminis'!$Q:$Q,'(14) Compras, bienes y suminis'!$S:$T,'(14) Compras, bienes y suminis'!$V:$X</definedName>
    <definedName name="Z_97D65C1E_976A_4956_97FC_0E8188ABCFAA_.wvu.Cols" localSheetId="14" hidden="1">'(15) Mantenimiento'!$D:$D,'(15) Mantenimiento'!$F:$F,'(15) Mantenimiento'!$K:$M,'(15) Mantenimiento'!$Q:$Q,'(15) Mantenimiento'!$S:$T,'(15) Mantenimiento'!$V:$X</definedName>
    <definedName name="Z_97D65C1E_976A_4956_97FC_0E8188ABCFAA_.wvu.Cols" localSheetId="1" hidden="1">'(2) Control Interno'!$D:$D,'(2) Control Interno'!$F:$F,'(2) Control Interno'!$K:$M,'(2) Control Interno'!$Q:$Q,'(2) Control Interno'!$S:$T,'(2) Control Interno'!$V:$X</definedName>
    <definedName name="Z_97D65C1E_976A_4956_97FC_0E8188ABCFAA_.wvu.Cols" localSheetId="2" hidden="1">'(3) Juridica'!$D:$D,'(3) Juridica'!$F:$F,'(3) Juridica'!$K:$M,'(3) Juridica'!$Q:$Q,'(3) Juridica'!$S:$T,'(3) Juridica'!$V:$X</definedName>
    <definedName name="Z_97D65C1E_976A_4956_97FC_0E8188ABCFAA_.wvu.Cols" localSheetId="3" hidden="1">'(4) Calidad'!$D:$D,'(4) Calidad'!$F:$F,'(4) Calidad'!$K:$M,'(4) Calidad'!$Q:$Q,'(4) Calidad'!$S:$T,'(4) Calidad'!$V:$X</definedName>
    <definedName name="Z_97D65C1E_976A_4956_97FC_0E8188ABCFAA_.wvu.Cols" localSheetId="4" hidden="1">'(5) Talento Humano'!$D:$D,'(5) Talento Humano'!$F:$F,'(5) Talento Humano'!$K:$M,'(5) Talento Humano'!$Q:$Q,'(5) Talento Humano'!$S:$T,'(5) Talento Humano'!$V:$X</definedName>
    <definedName name="Z_97D65C1E_976A_4956_97FC_0E8188ABCFAA_.wvu.Cols" localSheetId="5" hidden="1">'(6) Seguridad y Salud T'!$D:$D,'(6) Seguridad y Salud T'!$F:$F,'(6) Seguridad y Salud T'!$K:$M,'(6) Seguridad y Salud T'!$Q:$Q,'(6) Seguridad y Salud T'!$S:$T,'(6) Seguridad y Salud T'!$V:$X</definedName>
    <definedName name="Z_97D65C1E_976A_4956_97FC_0E8188ABCFAA_.wvu.Cols" localSheetId="6" hidden="1">'(7) Sistemas'!#REF!,'(7) Sistemas'!$E:$E,'(7) Sistemas'!$J:$L,'(7) Sistemas'!$P:$P,'(7) Sistemas'!$R:$S,'(7) Sistemas'!$U:$W</definedName>
    <definedName name="Z_97D65C1E_976A_4956_97FC_0E8188ABCFAA_.wvu.Cols" localSheetId="7" hidden="1">'(8) Gestión Documental'!$D:$D,'(8) Gestión Documental'!$F:$F,'(8) Gestión Documental'!$K:$M,'(8) Gestión Documental'!$Q:$Q,'(8) Gestión Documental'!$S:$T,'(8) Gestión Documental'!$V:$X</definedName>
    <definedName name="Z_97D65C1E_976A_4956_97FC_0E8188ABCFAA_.wvu.Cols" localSheetId="8" hidden="1">'(9) Cartera'!$D:$D,'(9) Cartera'!$F:$F,'(9) Cartera'!$K:$M,'(9) Cartera'!$Q:$Q,'(9) Cartera'!$S:$T,'(9) Cartera'!$V:$X</definedName>
    <definedName name="Z_97D65C1E_976A_4956_97FC_0E8188ABCFAA_.wvu.Cols" localSheetId="16" hidden="1">Resumen!$Q:$AE,Resumen!$AH:$AX</definedName>
    <definedName name="Z_97D65C1E_976A_4956_97FC_0E8188ABCFAA_.wvu.PrintArea" localSheetId="9" hidden="1">'(10) Contabilidad'!$A$1:$V$12</definedName>
    <definedName name="Z_97D65C1E_976A_4956_97FC_0E8188ABCFAA_.wvu.PrintArea" localSheetId="10" hidden="1">'(11) Presupuesto'!$A$1:$V$11</definedName>
    <definedName name="Z_97D65C1E_976A_4956_97FC_0E8188ABCFAA_.wvu.PrintArea" localSheetId="11" hidden="1">'(12) Tesorería'!$A$1:$V$13</definedName>
    <definedName name="Z_97D65C1E_976A_4956_97FC_0E8188ABCFAA_.wvu.PrintArea" localSheetId="12" hidden="1">'(13) Facturacion y glosas'!$A$1:$V$14</definedName>
    <definedName name="Z_97D65C1E_976A_4956_97FC_0E8188ABCFAA_.wvu.PrintArea" localSheetId="13" hidden="1">'(14) Compras, bienes y suminis'!$A$1:$V$12</definedName>
    <definedName name="Z_97D65C1E_976A_4956_97FC_0E8188ABCFAA_.wvu.PrintArea" localSheetId="14" hidden="1">'(15) Mantenimiento'!$A$1:$V$11</definedName>
    <definedName name="Z_97D65C1E_976A_4956_97FC_0E8188ABCFAA_.wvu.PrintArea" localSheetId="1" hidden="1">'(2) Control Interno'!$A$2:$V$18</definedName>
    <definedName name="Z_97D65C1E_976A_4956_97FC_0E8188ABCFAA_.wvu.PrintArea" localSheetId="2" hidden="1">'(3) Juridica'!$A$1:$V$14</definedName>
    <definedName name="Z_97D65C1E_976A_4956_97FC_0E8188ABCFAA_.wvu.PrintArea" localSheetId="3" hidden="1">'(4) Calidad'!$A$1:$V$12</definedName>
    <definedName name="Z_97D65C1E_976A_4956_97FC_0E8188ABCFAA_.wvu.PrintArea" localSheetId="4" hidden="1">'(5) Talento Humano'!$A$1:$V$13</definedName>
    <definedName name="Z_97D65C1E_976A_4956_97FC_0E8188ABCFAA_.wvu.PrintArea" localSheetId="5" hidden="1">'(6) Seguridad y Salud T'!$A$1:$V$10</definedName>
    <definedName name="Z_97D65C1E_976A_4956_97FC_0E8188ABCFAA_.wvu.PrintArea" localSheetId="6" hidden="1">'(7) Sistemas'!$A$1:$U$13</definedName>
    <definedName name="Z_97D65C1E_976A_4956_97FC_0E8188ABCFAA_.wvu.PrintArea" localSheetId="7" hidden="1">'(8) Gestión Documental'!$A$1:$V$12</definedName>
    <definedName name="Z_97D65C1E_976A_4956_97FC_0E8188ABCFAA_.wvu.PrintArea" localSheetId="8" hidden="1">'(9) Cartera'!$A$1:$V$12</definedName>
    <definedName name="Z_97D65C1E_976A_4956_97FC_0E8188ABCFAA_.wvu.PrintArea" localSheetId="17" hidden="1">Evolución!$K$1:$Q$10</definedName>
    <definedName name="Z_97D65C1E_976A_4956_97FC_0E8188ABCFAA_.wvu.PrintArea" localSheetId="19" hidden="1">Impactos!$A$1:$G$12</definedName>
    <definedName name="Z_97D65C1E_976A_4956_97FC_0E8188ABCFAA_.wvu.PrintArea" localSheetId="16" hidden="1">Resumen!$A$1:$O$30</definedName>
    <definedName name="Z_97D65C1E_976A_4956_97FC_0E8188ABCFAA_.wvu.PrintTitles" localSheetId="9" hidden="1">'(10) Contabilidad'!$8:$9</definedName>
    <definedName name="Z_97D65C1E_976A_4956_97FC_0E8188ABCFAA_.wvu.PrintTitles" localSheetId="10" hidden="1">'(11) Presupuesto'!$8:$9</definedName>
    <definedName name="Z_97D65C1E_976A_4956_97FC_0E8188ABCFAA_.wvu.PrintTitles" localSheetId="11" hidden="1">'(12) Tesorería'!$8:$9</definedName>
    <definedName name="Z_97D65C1E_976A_4956_97FC_0E8188ABCFAA_.wvu.PrintTitles" localSheetId="1" hidden="1">'(2) Control Interno'!$8:$9</definedName>
    <definedName name="Z_97D65C1E_976A_4956_97FC_0E8188ABCFAA_.wvu.PrintTitles" localSheetId="2" hidden="1">'(3) Juridica'!$8:$9</definedName>
    <definedName name="Z_97D65C1E_976A_4956_97FC_0E8188ABCFAA_.wvu.PrintTitles" localSheetId="4" hidden="1">'(5) Talento Humano'!$8:$9</definedName>
    <definedName name="Z_97D65C1E_976A_4956_97FC_0E8188ABCFAA_.wvu.PrintTitles" localSheetId="5" hidden="1">'(6) Seguridad y Salud T'!$8:$9</definedName>
    <definedName name="Z_97D65C1E_976A_4956_97FC_0E8188ABCFAA_.wvu.PrintTitles" localSheetId="6" hidden="1">'(7) Sistemas'!$8:$9</definedName>
    <definedName name="Z_97D65C1E_976A_4956_97FC_0E8188ABCFAA_.wvu.PrintTitles" localSheetId="7" hidden="1">'(8) Gestión Documental'!$8:$9</definedName>
    <definedName name="Z_ADD38025_F4B2_44E2_9D06_07A9BF0F3A51_.wvu.Cols" localSheetId="0" hidden="1">'(1) Planeación'!$D:$D,'(1) Planeación'!$F:$F,'(1) Planeación'!$K:$M,'(1) Planeación'!$Q:$Q,'(1) Planeación'!$S:$T,'(1) Planeación'!$V:$V</definedName>
    <definedName name="Z_ADD38025_F4B2_44E2_9D06_07A9BF0F3A51_.wvu.Cols" localSheetId="9" hidden="1">'(10) Contabilidad'!$D:$D,'(10) Contabilidad'!$F:$F,'(10) Contabilidad'!$K:$M,'(10) Contabilidad'!$Q:$Q,'(10) Contabilidad'!$S:$T,'(10) Contabilidad'!$V:$X</definedName>
    <definedName name="Z_ADD38025_F4B2_44E2_9D06_07A9BF0F3A51_.wvu.Cols" localSheetId="10" hidden="1">'(11) Presupuesto'!$D:$D,'(11) Presupuesto'!$F:$F,'(11) Presupuesto'!$K:$M,'(11) Presupuesto'!$Q:$Q,'(11) Presupuesto'!$S:$T,'(11) Presupuesto'!$V:$X</definedName>
    <definedName name="Z_ADD38025_F4B2_44E2_9D06_07A9BF0F3A51_.wvu.Cols" localSheetId="11" hidden="1">'(12) Tesorería'!$D:$D,'(12) Tesorería'!$F:$F,'(12) Tesorería'!$K:$M,'(12) Tesorería'!$Q:$Q,'(12) Tesorería'!$S:$T,'(12) Tesorería'!$V:$X</definedName>
    <definedName name="Z_ADD38025_F4B2_44E2_9D06_07A9BF0F3A51_.wvu.Cols" localSheetId="12" hidden="1">'(13) Facturacion y glosas'!$D:$D,'(13) Facturacion y glosas'!$F:$F,'(13) Facturacion y glosas'!$K:$M,'(13) Facturacion y glosas'!$Q:$Q,'(13) Facturacion y glosas'!$S:$T,'(13) Facturacion y glosas'!$V:$X</definedName>
    <definedName name="Z_ADD38025_F4B2_44E2_9D06_07A9BF0F3A51_.wvu.Cols" localSheetId="13" hidden="1">'(14) Compras, bienes y suminis'!$D:$D,'(14) Compras, bienes y suminis'!$F:$F,'(14) Compras, bienes y suminis'!$K:$M,'(14) Compras, bienes y suminis'!$Q:$Q,'(14) Compras, bienes y suminis'!$S:$T,'(14) Compras, bienes y suminis'!$V:$X</definedName>
    <definedName name="Z_ADD38025_F4B2_44E2_9D06_07A9BF0F3A51_.wvu.Cols" localSheetId="14" hidden="1">'(15) Mantenimiento'!$D:$D,'(15) Mantenimiento'!$F:$F,'(15) Mantenimiento'!$K:$M,'(15) Mantenimiento'!$Q:$Q,'(15) Mantenimiento'!$S:$T,'(15) Mantenimiento'!$V:$X</definedName>
    <definedName name="Z_ADD38025_F4B2_44E2_9D06_07A9BF0F3A51_.wvu.Cols" localSheetId="1" hidden="1">'(2) Control Interno'!$D:$D,'(2) Control Interno'!$F:$F,'(2) Control Interno'!$K:$M,'(2) Control Interno'!$Q:$Q,'(2) Control Interno'!$S:$T,'(2) Control Interno'!$V:$X</definedName>
    <definedName name="Z_ADD38025_F4B2_44E2_9D06_07A9BF0F3A51_.wvu.Cols" localSheetId="2" hidden="1">'(3) Juridica'!$D:$D,'(3) Juridica'!$F:$F,'(3) Juridica'!$K:$M,'(3) Juridica'!$Q:$Q,'(3) Juridica'!$S:$T,'(3) Juridica'!$V:$X</definedName>
    <definedName name="Z_ADD38025_F4B2_44E2_9D06_07A9BF0F3A51_.wvu.Cols" localSheetId="3" hidden="1">'(4) Calidad'!$D:$D,'(4) Calidad'!$F:$F,'(4) Calidad'!$K:$M,'(4) Calidad'!$Q:$Q,'(4) Calidad'!$S:$T,'(4) Calidad'!$V:$X</definedName>
    <definedName name="Z_ADD38025_F4B2_44E2_9D06_07A9BF0F3A51_.wvu.Cols" localSheetId="4" hidden="1">'(5) Talento Humano'!$D:$D,'(5) Talento Humano'!$F:$F,'(5) Talento Humano'!$K:$M,'(5) Talento Humano'!$Q:$Q,'(5) Talento Humano'!$S:$T,'(5) Talento Humano'!$V:$X</definedName>
    <definedName name="Z_ADD38025_F4B2_44E2_9D06_07A9BF0F3A51_.wvu.Cols" localSheetId="5" hidden="1">'(6) Seguridad y Salud T'!$D:$D,'(6) Seguridad y Salud T'!$F:$F,'(6) Seguridad y Salud T'!$K:$M,'(6) Seguridad y Salud T'!$Q:$Q,'(6) Seguridad y Salud T'!$S:$T,'(6) Seguridad y Salud T'!$V:$X</definedName>
    <definedName name="Z_ADD38025_F4B2_44E2_9D06_07A9BF0F3A51_.wvu.Cols" localSheetId="6" hidden="1">'(7) Sistemas'!#REF!,'(7) Sistemas'!$E:$E,'(7) Sistemas'!$J:$L,'(7) Sistemas'!$P:$P,'(7) Sistemas'!$R:$S,'(7) Sistemas'!$U:$W</definedName>
    <definedName name="Z_ADD38025_F4B2_44E2_9D06_07A9BF0F3A51_.wvu.Cols" localSheetId="7" hidden="1">'(8) Gestión Documental'!$D:$D,'(8) Gestión Documental'!$F:$F,'(8) Gestión Documental'!$K:$M,'(8) Gestión Documental'!$Q:$Q,'(8) Gestión Documental'!$S:$T,'(8) Gestión Documental'!$V:$X</definedName>
    <definedName name="Z_ADD38025_F4B2_44E2_9D06_07A9BF0F3A51_.wvu.Cols" localSheetId="8" hidden="1">'(9) Cartera'!$D:$D,'(9) Cartera'!$F:$F,'(9) Cartera'!$K:$M,'(9) Cartera'!$Q:$Q,'(9) Cartera'!$S:$T,'(9) Cartera'!$V:$X</definedName>
    <definedName name="Z_ADD38025_F4B2_44E2_9D06_07A9BF0F3A51_.wvu.Cols" localSheetId="16" hidden="1">Resumen!$Q:$AE,Resumen!$AH:$AX</definedName>
    <definedName name="Z_ADD38025_F4B2_44E2_9D06_07A9BF0F3A51_.wvu.PrintArea" localSheetId="9" hidden="1">'(10) Contabilidad'!$A$1:$V$12</definedName>
    <definedName name="Z_ADD38025_F4B2_44E2_9D06_07A9BF0F3A51_.wvu.PrintArea" localSheetId="10" hidden="1">'(11) Presupuesto'!$A$1:$V$11</definedName>
    <definedName name="Z_ADD38025_F4B2_44E2_9D06_07A9BF0F3A51_.wvu.PrintArea" localSheetId="11" hidden="1">'(12) Tesorería'!$A$1:$V$13</definedName>
    <definedName name="Z_ADD38025_F4B2_44E2_9D06_07A9BF0F3A51_.wvu.PrintArea" localSheetId="12" hidden="1">'(13) Facturacion y glosas'!$A$1:$V$14</definedName>
    <definedName name="Z_ADD38025_F4B2_44E2_9D06_07A9BF0F3A51_.wvu.PrintArea" localSheetId="13" hidden="1">'(14) Compras, bienes y suminis'!$A$1:$V$12</definedName>
    <definedName name="Z_ADD38025_F4B2_44E2_9D06_07A9BF0F3A51_.wvu.PrintArea" localSheetId="14" hidden="1">'(15) Mantenimiento'!$A$1:$V$11</definedName>
    <definedName name="Z_ADD38025_F4B2_44E2_9D06_07A9BF0F3A51_.wvu.PrintArea" localSheetId="1" hidden="1">'(2) Control Interno'!$A$2:$V$18</definedName>
    <definedName name="Z_ADD38025_F4B2_44E2_9D06_07A9BF0F3A51_.wvu.PrintArea" localSheetId="2" hidden="1">'(3) Juridica'!$A$1:$V$14</definedName>
    <definedName name="Z_ADD38025_F4B2_44E2_9D06_07A9BF0F3A51_.wvu.PrintArea" localSheetId="3" hidden="1">'(4) Calidad'!$A$1:$V$12</definedName>
    <definedName name="Z_ADD38025_F4B2_44E2_9D06_07A9BF0F3A51_.wvu.PrintArea" localSheetId="4" hidden="1">'(5) Talento Humano'!$A$1:$V$13</definedName>
    <definedName name="Z_ADD38025_F4B2_44E2_9D06_07A9BF0F3A51_.wvu.PrintArea" localSheetId="5" hidden="1">'(6) Seguridad y Salud T'!$A$1:$V$10</definedName>
    <definedName name="Z_ADD38025_F4B2_44E2_9D06_07A9BF0F3A51_.wvu.PrintArea" localSheetId="6" hidden="1">'(7) Sistemas'!$A$1:$U$13</definedName>
    <definedName name="Z_ADD38025_F4B2_44E2_9D06_07A9BF0F3A51_.wvu.PrintArea" localSheetId="7" hidden="1">'(8) Gestión Documental'!$A$1:$V$12</definedName>
    <definedName name="Z_ADD38025_F4B2_44E2_9D06_07A9BF0F3A51_.wvu.PrintArea" localSheetId="8" hidden="1">'(9) Cartera'!$A$1:$V$12</definedName>
    <definedName name="Z_ADD38025_F4B2_44E2_9D06_07A9BF0F3A51_.wvu.PrintArea" localSheetId="17" hidden="1">Evolución!$K$1:$Q$10</definedName>
    <definedName name="Z_ADD38025_F4B2_44E2_9D06_07A9BF0F3A51_.wvu.PrintArea" localSheetId="19" hidden="1">Impactos!$A$1:$G$12</definedName>
    <definedName name="Z_ADD38025_F4B2_44E2_9D06_07A9BF0F3A51_.wvu.PrintArea" localSheetId="16" hidden="1">Resumen!$A$1:$O$30</definedName>
    <definedName name="Z_ADD38025_F4B2_44E2_9D06_07A9BF0F3A51_.wvu.PrintTitles" localSheetId="9" hidden="1">'(10) Contabilidad'!$8:$9</definedName>
    <definedName name="Z_ADD38025_F4B2_44E2_9D06_07A9BF0F3A51_.wvu.PrintTitles" localSheetId="10" hidden="1">'(11) Presupuesto'!$8:$9</definedName>
    <definedName name="Z_ADD38025_F4B2_44E2_9D06_07A9BF0F3A51_.wvu.PrintTitles" localSheetId="11" hidden="1">'(12) Tesorería'!$8:$9</definedName>
    <definedName name="Z_ADD38025_F4B2_44E2_9D06_07A9BF0F3A51_.wvu.PrintTitles" localSheetId="1" hidden="1">'(2) Control Interno'!$8:$9</definedName>
    <definedName name="Z_ADD38025_F4B2_44E2_9D06_07A9BF0F3A51_.wvu.PrintTitles" localSheetId="2" hidden="1">'(3) Juridica'!$8:$9</definedName>
    <definedName name="Z_ADD38025_F4B2_44E2_9D06_07A9BF0F3A51_.wvu.PrintTitles" localSheetId="4" hidden="1">'(5) Talento Humano'!$8:$9</definedName>
    <definedName name="Z_ADD38025_F4B2_44E2_9D06_07A9BF0F3A51_.wvu.PrintTitles" localSheetId="5" hidden="1">'(6) Seguridad y Salud T'!$8:$9</definedName>
    <definedName name="Z_ADD38025_F4B2_44E2_9D06_07A9BF0F3A51_.wvu.PrintTitles" localSheetId="6" hidden="1">'(7) Sistemas'!$8:$9</definedName>
    <definedName name="Z_ADD38025_F4B2_44E2_9D06_07A9BF0F3A51_.wvu.PrintTitles" localSheetId="7" hidden="1">'(8) Gestión Documental'!$8:$9</definedName>
    <definedName name="Z_AF3BF2A1_5C19_43AE_A08B_3E418E8AE543_.wvu.Cols" localSheetId="0" hidden="1">'(1) Planeación'!$D:$D,'(1) Planeación'!$F:$F,'(1) Planeación'!$K:$M,'(1) Planeación'!$Q:$Q,'(1) Planeación'!$S:$T,'(1) Planeación'!$V:$V</definedName>
    <definedName name="Z_AF3BF2A1_5C19_43AE_A08B_3E418E8AE543_.wvu.Cols" localSheetId="9" hidden="1">'(10) Contabilidad'!$D:$D,'(10) Contabilidad'!$F:$F,'(10) Contabilidad'!$K:$M,'(10) Contabilidad'!$Q:$Q,'(10) Contabilidad'!$S:$T,'(10) Contabilidad'!$V:$X</definedName>
    <definedName name="Z_AF3BF2A1_5C19_43AE_A08B_3E418E8AE543_.wvu.Cols" localSheetId="10" hidden="1">'(11) Presupuesto'!$D:$D,'(11) Presupuesto'!$F:$F,'(11) Presupuesto'!$K:$M,'(11) Presupuesto'!$Q:$Q,'(11) Presupuesto'!$S:$T,'(11) Presupuesto'!$V:$X</definedName>
    <definedName name="Z_AF3BF2A1_5C19_43AE_A08B_3E418E8AE543_.wvu.Cols" localSheetId="11" hidden="1">'(12) Tesorería'!$D:$D,'(12) Tesorería'!$F:$F,'(12) Tesorería'!$K:$M,'(12) Tesorería'!$Q:$Q,'(12) Tesorería'!$S:$T,'(12) Tesorería'!$V:$X</definedName>
    <definedName name="Z_AF3BF2A1_5C19_43AE_A08B_3E418E8AE543_.wvu.Cols" localSheetId="1" hidden="1">'(2) Control Interno'!$D:$D,'(2) Control Interno'!$F:$F,'(2) Control Interno'!$K:$M,'(2) Control Interno'!$Q:$Q,'(2) Control Interno'!$S:$T,'(2) Control Interno'!$V:$X</definedName>
    <definedName name="Z_AF3BF2A1_5C19_43AE_A08B_3E418E8AE543_.wvu.Cols" localSheetId="2" hidden="1">'(3) Juridica'!$D:$D,'(3) Juridica'!$F:$F,'(3) Juridica'!$K:$M,'(3) Juridica'!$Q:$Q,'(3) Juridica'!$S:$T,'(3) Juridica'!$V:$X</definedName>
    <definedName name="Z_AF3BF2A1_5C19_43AE_A08B_3E418E8AE543_.wvu.Cols" localSheetId="3" hidden="1">'(4) Calidad'!$D:$D,'(4) Calidad'!$F:$F,'(4) Calidad'!$K:$M,'(4) Calidad'!$Q:$Q,'(4) Calidad'!$S:$T,'(4) Calidad'!$V:$X</definedName>
    <definedName name="Z_AF3BF2A1_5C19_43AE_A08B_3E418E8AE543_.wvu.Cols" localSheetId="4" hidden="1">'(5) Talento Humano'!$D:$D,'(5) Talento Humano'!$F:$F,'(5) Talento Humano'!$K:$M,'(5) Talento Humano'!$Q:$Q,'(5) Talento Humano'!$S:$T,'(5) Talento Humano'!$V:$X</definedName>
    <definedName name="Z_AF3BF2A1_5C19_43AE_A08B_3E418E8AE543_.wvu.Cols" localSheetId="5" hidden="1">'(6) Seguridad y Salud T'!$D:$D,'(6) Seguridad y Salud T'!$F:$F,'(6) Seguridad y Salud T'!$K:$M,'(6) Seguridad y Salud T'!$Q:$Q,'(6) Seguridad y Salud T'!$S:$T,'(6) Seguridad y Salud T'!$V:$X</definedName>
    <definedName name="Z_AF3BF2A1_5C19_43AE_A08B_3E418E8AE543_.wvu.Cols" localSheetId="6" hidden="1">'(7) Sistemas'!#REF!,'(7) Sistemas'!$E:$E,'(7) Sistemas'!$J:$L,'(7) Sistemas'!$P:$P,'(7) Sistemas'!$R:$S,'(7) Sistemas'!$U:$W</definedName>
    <definedName name="Z_AF3BF2A1_5C19_43AE_A08B_3E418E8AE543_.wvu.Cols" localSheetId="16" hidden="1">Resumen!$Q:$AE,Resumen!$AH:$AX</definedName>
    <definedName name="Z_AF3BF2A1_5C19_43AE_A08B_3E418E8AE543_.wvu.PrintArea" localSheetId="9" hidden="1">'(10) Contabilidad'!$A$1:$V$12</definedName>
    <definedName name="Z_AF3BF2A1_5C19_43AE_A08B_3E418E8AE543_.wvu.PrintArea" localSheetId="10" hidden="1">'(11) Presupuesto'!$A$1:$V$11</definedName>
    <definedName name="Z_AF3BF2A1_5C19_43AE_A08B_3E418E8AE543_.wvu.PrintArea" localSheetId="11" hidden="1">'(12) Tesorería'!$A$1:$V$13</definedName>
    <definedName name="Z_AF3BF2A1_5C19_43AE_A08B_3E418E8AE543_.wvu.PrintArea" localSheetId="12" hidden="1">'(13) Facturacion y glosas'!$A$1:$V$14</definedName>
    <definedName name="Z_AF3BF2A1_5C19_43AE_A08B_3E418E8AE543_.wvu.PrintArea" localSheetId="13" hidden="1">'(14) Compras, bienes y suminis'!$A$1:$V$12</definedName>
    <definedName name="Z_AF3BF2A1_5C19_43AE_A08B_3E418E8AE543_.wvu.PrintArea" localSheetId="14" hidden="1">'(15) Mantenimiento'!$A$1:$V$11</definedName>
    <definedName name="Z_AF3BF2A1_5C19_43AE_A08B_3E418E8AE543_.wvu.PrintArea" localSheetId="1" hidden="1">'(2) Control Interno'!$A$2:$V$18</definedName>
    <definedName name="Z_AF3BF2A1_5C19_43AE_A08B_3E418E8AE543_.wvu.PrintArea" localSheetId="2" hidden="1">'(3) Juridica'!$A$1:$V$14</definedName>
    <definedName name="Z_AF3BF2A1_5C19_43AE_A08B_3E418E8AE543_.wvu.PrintArea" localSheetId="3" hidden="1">'(4) Calidad'!$A$1:$V$12</definedName>
    <definedName name="Z_AF3BF2A1_5C19_43AE_A08B_3E418E8AE543_.wvu.PrintArea" localSheetId="4" hidden="1">'(5) Talento Humano'!$A$1:$V$13</definedName>
    <definedName name="Z_AF3BF2A1_5C19_43AE_A08B_3E418E8AE543_.wvu.PrintArea" localSheetId="5" hidden="1">'(6) Seguridad y Salud T'!$A$1:$V$10</definedName>
    <definedName name="Z_AF3BF2A1_5C19_43AE_A08B_3E418E8AE543_.wvu.PrintArea" localSheetId="6" hidden="1">'(7) Sistemas'!$A$1:$U$13</definedName>
    <definedName name="Z_AF3BF2A1_5C19_43AE_A08B_3E418E8AE543_.wvu.PrintArea" localSheetId="7" hidden="1">'(8) Gestión Documental'!$A$1:$V$12</definedName>
    <definedName name="Z_AF3BF2A1_5C19_43AE_A08B_3E418E8AE543_.wvu.PrintArea" localSheetId="8" hidden="1">'(9) Cartera'!$A$1:$V$12</definedName>
    <definedName name="Z_AF3BF2A1_5C19_43AE_A08B_3E418E8AE543_.wvu.PrintArea" localSheetId="17" hidden="1">Evolución!$K$1:$Q$10</definedName>
    <definedName name="Z_AF3BF2A1_5C19_43AE_A08B_3E418E8AE543_.wvu.PrintArea" localSheetId="19" hidden="1">Impactos!$A$1:$G$12</definedName>
    <definedName name="Z_AF3BF2A1_5C19_43AE_A08B_3E418E8AE543_.wvu.PrintArea" localSheetId="16" hidden="1">Resumen!$A$1:$O$30</definedName>
    <definedName name="Z_AF3BF2A1_5C19_43AE_A08B_3E418E8AE543_.wvu.PrintTitles" localSheetId="9" hidden="1">'(10) Contabilidad'!$8:$9</definedName>
    <definedName name="Z_AF3BF2A1_5C19_43AE_A08B_3E418E8AE543_.wvu.PrintTitles" localSheetId="10" hidden="1">'(11) Presupuesto'!$8:$9</definedName>
    <definedName name="Z_AF3BF2A1_5C19_43AE_A08B_3E418E8AE543_.wvu.PrintTitles" localSheetId="11" hidden="1">'(12) Tesorería'!$8:$9</definedName>
    <definedName name="Z_AF3BF2A1_5C19_43AE_A08B_3E418E8AE543_.wvu.PrintTitles" localSheetId="1" hidden="1">'(2) Control Interno'!$8:$9</definedName>
    <definedName name="Z_AF3BF2A1_5C19_43AE_A08B_3E418E8AE543_.wvu.PrintTitles" localSheetId="2" hidden="1">'(3) Juridica'!$8:$9</definedName>
    <definedName name="Z_AF3BF2A1_5C19_43AE_A08B_3E418E8AE543_.wvu.PrintTitles" localSheetId="4" hidden="1">'(5) Talento Humano'!$8:$9</definedName>
    <definedName name="Z_AF3BF2A1_5C19_43AE_A08B_3E418E8AE543_.wvu.PrintTitles" localSheetId="5" hidden="1">'(6) Seguridad y Salud T'!$8:$9</definedName>
    <definedName name="Z_AF3BF2A1_5C19_43AE_A08B_3E418E8AE543_.wvu.PrintTitles" localSheetId="6" hidden="1">'(7) Sistemas'!$8:$9</definedName>
    <definedName name="Z_AF3BF2A1_5C19_43AE_A08B_3E418E8AE543_.wvu.PrintTitles" localSheetId="7" hidden="1">'(8) Gestión Documental'!$8:$9</definedName>
    <definedName name="Z_B74BB35E_E214_422E_BB39_6D168553F4C5_.wvu.Cols" localSheetId="0" hidden="1">'(1) Planeación'!$D:$D,'(1) Planeación'!$F:$F,'(1) Planeación'!$K:$M,'(1) Planeación'!$Q:$Q,'(1) Planeación'!$S:$T,'(1) Planeación'!$V:$V</definedName>
    <definedName name="Z_B74BB35E_E214_422E_BB39_6D168553F4C5_.wvu.Cols" localSheetId="1" hidden="1">'(2) Control Interno'!$D:$D,'(2) Control Interno'!$F:$F,'(2) Control Interno'!$K:$M,'(2) Control Interno'!$Q:$Q,'(2) Control Interno'!$S:$T,'(2) Control Interno'!$V:$X</definedName>
    <definedName name="Z_B74BB35E_E214_422E_BB39_6D168553F4C5_.wvu.Cols" localSheetId="2" hidden="1">'(3) Juridica'!$D:$D,'(3) Juridica'!$F:$F,'(3) Juridica'!$K:$M,'(3) Juridica'!$Q:$Q,'(3) Juridica'!$S:$T,'(3) Juridica'!$V:$X</definedName>
    <definedName name="Z_B74BB35E_E214_422E_BB39_6D168553F4C5_.wvu.Cols" localSheetId="3" hidden="1">'(4) Calidad'!$D:$D,'(4) Calidad'!$F:$F,'(4) Calidad'!$K:$M,'(4) Calidad'!$Q:$Q,'(4) Calidad'!$S:$T,'(4) Calidad'!$V:$X</definedName>
    <definedName name="Z_B74BB35E_E214_422E_BB39_6D168553F4C5_.wvu.Cols" localSheetId="16" hidden="1">Resumen!$Q:$AE,Resumen!$AH:$AX</definedName>
    <definedName name="Z_B74BB35E_E214_422E_BB39_6D168553F4C5_.wvu.PrintArea" localSheetId="9" hidden="1">'(10) Contabilidad'!$A$1:$V$12</definedName>
    <definedName name="Z_B74BB35E_E214_422E_BB39_6D168553F4C5_.wvu.PrintArea" localSheetId="10" hidden="1">'(11) Presupuesto'!$A$1:$V$11</definedName>
    <definedName name="Z_B74BB35E_E214_422E_BB39_6D168553F4C5_.wvu.PrintArea" localSheetId="11" hidden="1">'(12) Tesorería'!$A$1:$V$13</definedName>
    <definedName name="Z_B74BB35E_E214_422E_BB39_6D168553F4C5_.wvu.PrintArea" localSheetId="12" hidden="1">'(13) Facturacion y glosas'!$A$1:$V$14</definedName>
    <definedName name="Z_B74BB35E_E214_422E_BB39_6D168553F4C5_.wvu.PrintArea" localSheetId="13" hidden="1">'(14) Compras, bienes y suminis'!$A$1:$V$12</definedName>
    <definedName name="Z_B74BB35E_E214_422E_BB39_6D168553F4C5_.wvu.PrintArea" localSheetId="14" hidden="1">'(15) Mantenimiento'!$A$1:$V$11</definedName>
    <definedName name="Z_B74BB35E_E214_422E_BB39_6D168553F4C5_.wvu.PrintArea" localSheetId="1" hidden="1">'(2) Control Interno'!$A$2:$V$18</definedName>
    <definedName name="Z_B74BB35E_E214_422E_BB39_6D168553F4C5_.wvu.PrintArea" localSheetId="2" hidden="1">'(3) Juridica'!$A$1:$V$14</definedName>
    <definedName name="Z_B74BB35E_E214_422E_BB39_6D168553F4C5_.wvu.PrintArea" localSheetId="3" hidden="1">'(4) Calidad'!$A$1:$V$12</definedName>
    <definedName name="Z_B74BB35E_E214_422E_BB39_6D168553F4C5_.wvu.PrintArea" localSheetId="4" hidden="1">'(5) Talento Humano'!$A$1:$V$13</definedName>
    <definedName name="Z_B74BB35E_E214_422E_BB39_6D168553F4C5_.wvu.PrintArea" localSheetId="5" hidden="1">'(6) Seguridad y Salud T'!$A$1:$V$10</definedName>
    <definedName name="Z_B74BB35E_E214_422E_BB39_6D168553F4C5_.wvu.PrintArea" localSheetId="6" hidden="1">'(7) Sistemas'!$A$1:$U$13</definedName>
    <definedName name="Z_B74BB35E_E214_422E_BB39_6D168553F4C5_.wvu.PrintArea" localSheetId="7" hidden="1">'(8) Gestión Documental'!$A$1:$V$12</definedName>
    <definedName name="Z_B74BB35E_E214_422E_BB39_6D168553F4C5_.wvu.PrintArea" localSheetId="8" hidden="1">'(9) Cartera'!$A$1:$V$12</definedName>
    <definedName name="Z_B74BB35E_E214_422E_BB39_6D168553F4C5_.wvu.PrintArea" localSheetId="17" hidden="1">Evolución!$K$1:$Q$10</definedName>
    <definedName name="Z_B74BB35E_E214_422E_BB39_6D168553F4C5_.wvu.PrintArea" localSheetId="19" hidden="1">Impactos!$A$1:$G$12</definedName>
    <definedName name="Z_B74BB35E_E214_422E_BB39_6D168553F4C5_.wvu.PrintArea" localSheetId="16" hidden="1">Resumen!$A$1:$O$30</definedName>
    <definedName name="Z_B74BB35E_E214_422E_BB39_6D168553F4C5_.wvu.PrintTitles" localSheetId="9" hidden="1">'(10) Contabilidad'!$8:$9</definedName>
    <definedName name="Z_B74BB35E_E214_422E_BB39_6D168553F4C5_.wvu.PrintTitles" localSheetId="10" hidden="1">'(11) Presupuesto'!$8:$9</definedName>
    <definedName name="Z_B74BB35E_E214_422E_BB39_6D168553F4C5_.wvu.PrintTitles" localSheetId="11" hidden="1">'(12) Tesorería'!$8:$9</definedName>
    <definedName name="Z_B74BB35E_E214_422E_BB39_6D168553F4C5_.wvu.PrintTitles" localSheetId="1" hidden="1">'(2) Control Interno'!$8:$9</definedName>
    <definedName name="Z_B74BB35E_E214_422E_BB39_6D168553F4C5_.wvu.PrintTitles" localSheetId="2" hidden="1">'(3) Juridica'!$8:$9</definedName>
    <definedName name="Z_B74BB35E_E214_422E_BB39_6D168553F4C5_.wvu.PrintTitles" localSheetId="4" hidden="1">'(5) Talento Humano'!$8:$9</definedName>
    <definedName name="Z_B74BB35E_E214_422E_BB39_6D168553F4C5_.wvu.PrintTitles" localSheetId="5" hidden="1">'(6) Seguridad y Salud T'!$8:$9</definedName>
    <definedName name="Z_B74BB35E_E214_422E_BB39_6D168553F4C5_.wvu.PrintTitles" localSheetId="6" hidden="1">'(7) Sistemas'!$8:$9</definedName>
    <definedName name="Z_B74BB35E_E214_422E_BB39_6D168553F4C5_.wvu.PrintTitles" localSheetId="7" hidden="1">'(8) Gestión Documental'!$8:$9</definedName>
    <definedName name="Z_B83C9EB8_C964_4489_98C8_19C81BFAE010_.wvu.Cols" localSheetId="0" hidden="1">'(1) Planeación'!$D:$D,'(1) Planeación'!$F:$F,'(1) Planeación'!$K:$M,'(1) Planeación'!$Q:$Q,'(1) Planeación'!$S:$T,'(1) Planeación'!$V:$V</definedName>
    <definedName name="Z_B83C9EB8_C964_4489_98C8_19C81BFAE010_.wvu.Cols" localSheetId="9" hidden="1">'(10) Contabilidad'!$D:$D,'(10) Contabilidad'!$F:$F,'(10) Contabilidad'!$K:$M,'(10) Contabilidad'!$Q:$Q,'(10) Contabilidad'!$S:$T,'(10) Contabilidad'!$V:$X</definedName>
    <definedName name="Z_B83C9EB8_C964_4489_98C8_19C81BFAE010_.wvu.Cols" localSheetId="10" hidden="1">'(11) Presupuesto'!$D:$D,'(11) Presupuesto'!$F:$F,'(11) Presupuesto'!$K:$M,'(11) Presupuesto'!$Q:$Q,'(11) Presupuesto'!$S:$T,'(11) Presupuesto'!$V:$X</definedName>
    <definedName name="Z_B83C9EB8_C964_4489_98C8_19C81BFAE010_.wvu.Cols" localSheetId="11" hidden="1">'(12) Tesorería'!$D:$D,'(12) Tesorería'!$F:$F,'(12) Tesorería'!$K:$M,'(12) Tesorería'!$Q:$Q,'(12) Tesorería'!$S:$T,'(12) Tesorería'!$V:$X</definedName>
    <definedName name="Z_B83C9EB8_C964_4489_98C8_19C81BFAE010_.wvu.Cols" localSheetId="13" hidden="1">'(14) Compras, bienes y suminis'!$D:$D,'(14) Compras, bienes y suminis'!$F:$F,'(14) Compras, bienes y suminis'!$K:$M,'(14) Compras, bienes y suminis'!$Q:$Q,'(14) Compras, bienes y suminis'!$S:$T,'(14) Compras, bienes y suminis'!$V:$X</definedName>
    <definedName name="Z_B83C9EB8_C964_4489_98C8_19C81BFAE010_.wvu.Cols" localSheetId="14" hidden="1">'(15) Mantenimiento'!$D:$D,'(15) Mantenimiento'!$F:$F,'(15) Mantenimiento'!$K:$M,'(15) Mantenimiento'!$Q:$Q,'(15) Mantenimiento'!$S:$T,'(15) Mantenimiento'!$V:$X</definedName>
    <definedName name="Z_B83C9EB8_C964_4489_98C8_19C81BFAE010_.wvu.Cols" localSheetId="1" hidden="1">'(2) Control Interno'!$D:$D,'(2) Control Interno'!$F:$F,'(2) Control Interno'!$K:$M,'(2) Control Interno'!$Q:$Q,'(2) Control Interno'!$S:$T,'(2) Control Interno'!$V:$X</definedName>
    <definedName name="Z_B83C9EB8_C964_4489_98C8_19C81BFAE010_.wvu.Cols" localSheetId="2" hidden="1">'(3) Juridica'!$D:$D,'(3) Juridica'!$F:$F,'(3) Juridica'!$K:$M,'(3) Juridica'!$Q:$Q,'(3) Juridica'!$S:$T,'(3) Juridica'!$V:$X</definedName>
    <definedName name="Z_B83C9EB8_C964_4489_98C8_19C81BFAE010_.wvu.Cols" localSheetId="3" hidden="1">'(4) Calidad'!$D:$D,'(4) Calidad'!$F:$F,'(4) Calidad'!$K:$M,'(4) Calidad'!$Q:$Q,'(4) Calidad'!$S:$T,'(4) Calidad'!$V:$X</definedName>
    <definedName name="Z_B83C9EB8_C964_4489_98C8_19C81BFAE010_.wvu.Cols" localSheetId="4" hidden="1">'(5) Talento Humano'!$D:$D,'(5) Talento Humano'!$F:$F,'(5) Talento Humano'!$K:$M,'(5) Talento Humano'!$Q:$Q,'(5) Talento Humano'!$S:$T,'(5) Talento Humano'!$V:$X</definedName>
    <definedName name="Z_B83C9EB8_C964_4489_98C8_19C81BFAE010_.wvu.Cols" localSheetId="5" hidden="1">'(6) Seguridad y Salud T'!$D:$D,'(6) Seguridad y Salud T'!$F:$F,'(6) Seguridad y Salud T'!$K:$M,'(6) Seguridad y Salud T'!$Q:$Q,'(6) Seguridad y Salud T'!$S:$T,'(6) Seguridad y Salud T'!$V:$X</definedName>
    <definedName name="Z_B83C9EB8_C964_4489_98C8_19C81BFAE010_.wvu.Cols" localSheetId="6" hidden="1">'(7) Sistemas'!#REF!,'(7) Sistemas'!$E:$E,'(7) Sistemas'!$J:$L,'(7) Sistemas'!$P:$P,'(7) Sistemas'!$R:$S,'(7) Sistemas'!$U:$W</definedName>
    <definedName name="Z_B83C9EB8_C964_4489_98C8_19C81BFAE010_.wvu.Cols" localSheetId="7" hidden="1">'(8) Gestión Documental'!$D:$D,'(8) Gestión Documental'!$F:$F,'(8) Gestión Documental'!$K:$M,'(8) Gestión Documental'!$Q:$Q,'(8) Gestión Documental'!$S:$T,'(8) Gestión Documental'!$V:$X</definedName>
    <definedName name="Z_B83C9EB8_C964_4489_98C8_19C81BFAE010_.wvu.Cols" localSheetId="16" hidden="1">Resumen!$Q:$AE,Resumen!$AH:$AX</definedName>
    <definedName name="Z_B83C9EB8_C964_4489_98C8_19C81BFAE010_.wvu.PrintArea" localSheetId="9" hidden="1">'(10) Contabilidad'!$A$1:$V$12</definedName>
    <definedName name="Z_B83C9EB8_C964_4489_98C8_19C81BFAE010_.wvu.PrintArea" localSheetId="10" hidden="1">'(11) Presupuesto'!$A$1:$V$11</definedName>
    <definedName name="Z_B83C9EB8_C964_4489_98C8_19C81BFAE010_.wvu.PrintArea" localSheetId="11" hidden="1">'(12) Tesorería'!$A$1:$V$13</definedName>
    <definedName name="Z_B83C9EB8_C964_4489_98C8_19C81BFAE010_.wvu.PrintArea" localSheetId="12" hidden="1">'(13) Facturacion y glosas'!$A$1:$V$14</definedName>
    <definedName name="Z_B83C9EB8_C964_4489_98C8_19C81BFAE010_.wvu.PrintArea" localSheetId="13" hidden="1">'(14) Compras, bienes y suminis'!$A$1:$V$12</definedName>
    <definedName name="Z_B83C9EB8_C964_4489_98C8_19C81BFAE010_.wvu.PrintArea" localSheetId="14" hidden="1">'(15) Mantenimiento'!$A$1:$V$11</definedName>
    <definedName name="Z_B83C9EB8_C964_4489_98C8_19C81BFAE010_.wvu.PrintArea" localSheetId="1" hidden="1">'(2) Control Interno'!$A$2:$V$18</definedName>
    <definedName name="Z_B83C9EB8_C964_4489_98C8_19C81BFAE010_.wvu.PrintArea" localSheetId="2" hidden="1">'(3) Juridica'!$A$1:$V$14</definedName>
    <definedName name="Z_B83C9EB8_C964_4489_98C8_19C81BFAE010_.wvu.PrintArea" localSheetId="3" hidden="1">'(4) Calidad'!$A$1:$V$12</definedName>
    <definedName name="Z_B83C9EB8_C964_4489_98C8_19C81BFAE010_.wvu.PrintArea" localSheetId="4" hidden="1">'(5) Talento Humano'!$A$1:$V$13</definedName>
    <definedName name="Z_B83C9EB8_C964_4489_98C8_19C81BFAE010_.wvu.PrintArea" localSheetId="5" hidden="1">'(6) Seguridad y Salud T'!$A$1:$V$10</definedName>
    <definedName name="Z_B83C9EB8_C964_4489_98C8_19C81BFAE010_.wvu.PrintArea" localSheetId="6" hidden="1">'(7) Sistemas'!$A$1:$U$13</definedName>
    <definedName name="Z_B83C9EB8_C964_4489_98C8_19C81BFAE010_.wvu.PrintArea" localSheetId="7" hidden="1">'(8) Gestión Documental'!$A$1:$V$12</definedName>
    <definedName name="Z_B83C9EB8_C964_4489_98C8_19C81BFAE010_.wvu.PrintArea" localSheetId="8" hidden="1">'(9) Cartera'!$A$1:$V$12</definedName>
    <definedName name="Z_B83C9EB8_C964_4489_98C8_19C81BFAE010_.wvu.PrintArea" localSheetId="17" hidden="1">Evolución!$K$1:$Q$10</definedName>
    <definedName name="Z_B83C9EB8_C964_4489_98C8_19C81BFAE010_.wvu.PrintArea" localSheetId="19" hidden="1">Impactos!$A$1:$G$12</definedName>
    <definedName name="Z_B83C9EB8_C964_4489_98C8_19C81BFAE010_.wvu.PrintArea" localSheetId="16" hidden="1">Resumen!$A$1:$O$30</definedName>
    <definedName name="Z_B83C9EB8_C964_4489_98C8_19C81BFAE010_.wvu.PrintTitles" localSheetId="9" hidden="1">'(10) Contabilidad'!$8:$9</definedName>
    <definedName name="Z_B83C9EB8_C964_4489_98C8_19C81BFAE010_.wvu.PrintTitles" localSheetId="10" hidden="1">'(11) Presupuesto'!$8:$9</definedName>
    <definedName name="Z_B83C9EB8_C964_4489_98C8_19C81BFAE010_.wvu.PrintTitles" localSheetId="11" hidden="1">'(12) Tesorería'!$8:$9</definedName>
    <definedName name="Z_B83C9EB8_C964_4489_98C8_19C81BFAE010_.wvu.PrintTitles" localSheetId="1" hidden="1">'(2) Control Interno'!$8:$9</definedName>
    <definedName name="Z_B83C9EB8_C964_4489_98C8_19C81BFAE010_.wvu.PrintTitles" localSheetId="2" hidden="1">'(3) Juridica'!$8:$9</definedName>
    <definedName name="Z_B83C9EB8_C964_4489_98C8_19C81BFAE010_.wvu.PrintTitles" localSheetId="4" hidden="1">'(5) Talento Humano'!$8:$9</definedName>
    <definedName name="Z_B83C9EB8_C964_4489_98C8_19C81BFAE010_.wvu.PrintTitles" localSheetId="5" hidden="1">'(6) Seguridad y Salud T'!$8:$9</definedName>
    <definedName name="Z_B83C9EB8_C964_4489_98C8_19C81BFAE010_.wvu.PrintTitles" localSheetId="6" hidden="1">'(7) Sistemas'!$8:$9</definedName>
    <definedName name="Z_B83C9EB8_C964_4489_98C8_19C81BFAE010_.wvu.PrintTitles" localSheetId="7" hidden="1">'(8) Gestión Documental'!$8:$9</definedName>
    <definedName name="Z_C8C25E0F_313C_40E1_BC27_B55128053FAD_.wvu.Cols" localSheetId="0" hidden="1">'(1) Planeación'!$D:$D,'(1) Planeación'!$F:$F,'(1) Planeación'!$K:$M,'(1) Planeación'!$Q:$Q,'(1) Planeación'!$S:$T,'(1) Planeación'!$V:$V</definedName>
    <definedName name="Z_C8C25E0F_313C_40E1_BC27_B55128053FAD_.wvu.Cols" localSheetId="10" hidden="1">'(11) Presupuesto'!$D:$D,'(11) Presupuesto'!$F:$F,'(11) Presupuesto'!$K:$M,'(11) Presupuesto'!$Q:$Q,'(11) Presupuesto'!$S:$T,'(11) Presupuesto'!$V:$X</definedName>
    <definedName name="Z_C8C25E0F_313C_40E1_BC27_B55128053FAD_.wvu.Cols" localSheetId="1" hidden="1">'(2) Control Interno'!$D:$D,'(2) Control Interno'!$F:$F,'(2) Control Interno'!$K:$M,'(2) Control Interno'!$Q:$Q,'(2) Control Interno'!$S:$T,'(2) Control Interno'!$V:$X</definedName>
    <definedName name="Z_C8C25E0F_313C_40E1_BC27_B55128053FAD_.wvu.Cols" localSheetId="2" hidden="1">'(3) Juridica'!$D:$D,'(3) Juridica'!$F:$F,'(3) Juridica'!$K:$M,'(3) Juridica'!$Q:$Q,'(3) Juridica'!$S:$T,'(3) Juridica'!$V:$X</definedName>
    <definedName name="Z_C8C25E0F_313C_40E1_BC27_B55128053FAD_.wvu.Cols" localSheetId="3" hidden="1">'(4) Calidad'!$D:$D,'(4) Calidad'!$F:$F,'(4) Calidad'!$K:$M,'(4) Calidad'!$Q:$Q,'(4) Calidad'!$S:$T,'(4) Calidad'!$V:$X</definedName>
    <definedName name="Z_C8C25E0F_313C_40E1_BC27_B55128053FAD_.wvu.Cols" localSheetId="4" hidden="1">'(5) Talento Humano'!$D:$D,'(5) Talento Humano'!$F:$F,'(5) Talento Humano'!$K:$M,'(5) Talento Humano'!$Q:$Q,'(5) Talento Humano'!$S:$T,'(5) Talento Humano'!$V:$X</definedName>
    <definedName name="Z_C8C25E0F_313C_40E1_BC27_B55128053FAD_.wvu.Cols" localSheetId="5" hidden="1">'(6) Seguridad y Salud T'!$D:$D,'(6) Seguridad y Salud T'!$F:$F,'(6) Seguridad y Salud T'!$K:$M,'(6) Seguridad y Salud T'!$Q:$Q,'(6) Seguridad y Salud T'!$S:$T,'(6) Seguridad y Salud T'!$V:$X</definedName>
    <definedName name="Z_C8C25E0F_313C_40E1_BC27_B55128053FAD_.wvu.Cols" localSheetId="16" hidden="1">Resumen!$Q:$AE,Resumen!$AH:$AX</definedName>
    <definedName name="Z_C8C25E0F_313C_40E1_BC27_B55128053FAD_.wvu.PrintArea" localSheetId="9" hidden="1">'(10) Contabilidad'!$A$1:$V$12</definedName>
    <definedName name="Z_C8C25E0F_313C_40E1_BC27_B55128053FAD_.wvu.PrintArea" localSheetId="10" hidden="1">'(11) Presupuesto'!$A$1:$V$11</definedName>
    <definedName name="Z_C8C25E0F_313C_40E1_BC27_B55128053FAD_.wvu.PrintArea" localSheetId="11" hidden="1">'(12) Tesorería'!$A$1:$V$13</definedName>
    <definedName name="Z_C8C25E0F_313C_40E1_BC27_B55128053FAD_.wvu.PrintArea" localSheetId="12" hidden="1">'(13) Facturacion y glosas'!$A$1:$V$14</definedName>
    <definedName name="Z_C8C25E0F_313C_40E1_BC27_B55128053FAD_.wvu.PrintArea" localSheetId="13" hidden="1">'(14) Compras, bienes y suminis'!$A$1:$V$12</definedName>
    <definedName name="Z_C8C25E0F_313C_40E1_BC27_B55128053FAD_.wvu.PrintArea" localSheetId="14" hidden="1">'(15) Mantenimiento'!$A$1:$V$11</definedName>
    <definedName name="Z_C8C25E0F_313C_40E1_BC27_B55128053FAD_.wvu.PrintArea" localSheetId="1" hidden="1">'(2) Control Interno'!$A$2:$V$18</definedName>
    <definedName name="Z_C8C25E0F_313C_40E1_BC27_B55128053FAD_.wvu.PrintArea" localSheetId="2" hidden="1">'(3) Juridica'!$A$1:$V$14</definedName>
    <definedName name="Z_C8C25E0F_313C_40E1_BC27_B55128053FAD_.wvu.PrintArea" localSheetId="3" hidden="1">'(4) Calidad'!$A$1:$V$12</definedName>
    <definedName name="Z_C8C25E0F_313C_40E1_BC27_B55128053FAD_.wvu.PrintArea" localSheetId="4" hidden="1">'(5) Talento Humano'!$A$1:$V$13</definedName>
    <definedName name="Z_C8C25E0F_313C_40E1_BC27_B55128053FAD_.wvu.PrintArea" localSheetId="5" hidden="1">'(6) Seguridad y Salud T'!$A$1:$V$10</definedName>
    <definedName name="Z_C8C25E0F_313C_40E1_BC27_B55128053FAD_.wvu.PrintArea" localSheetId="6" hidden="1">'(7) Sistemas'!$A$1:$U$13</definedName>
    <definedName name="Z_C8C25E0F_313C_40E1_BC27_B55128053FAD_.wvu.PrintArea" localSheetId="7" hidden="1">'(8) Gestión Documental'!$A$1:$V$12</definedName>
    <definedName name="Z_C8C25E0F_313C_40E1_BC27_B55128053FAD_.wvu.PrintArea" localSheetId="8" hidden="1">'(9) Cartera'!$A$1:$V$12</definedName>
    <definedName name="Z_C8C25E0F_313C_40E1_BC27_B55128053FAD_.wvu.PrintArea" localSheetId="17" hidden="1">Evolución!$K$1:$Q$10</definedName>
    <definedName name="Z_C8C25E0F_313C_40E1_BC27_B55128053FAD_.wvu.PrintArea" localSheetId="19" hidden="1">Impactos!$A$1:$G$12</definedName>
    <definedName name="Z_C8C25E0F_313C_40E1_BC27_B55128053FAD_.wvu.PrintArea" localSheetId="16" hidden="1">Resumen!$A$1:$O$30</definedName>
    <definedName name="Z_C8C25E0F_313C_40E1_BC27_B55128053FAD_.wvu.PrintTitles" localSheetId="9" hidden="1">'(10) Contabilidad'!$8:$9</definedName>
    <definedName name="Z_C8C25E0F_313C_40E1_BC27_B55128053FAD_.wvu.PrintTitles" localSheetId="10" hidden="1">'(11) Presupuesto'!$8:$9</definedName>
    <definedName name="Z_C8C25E0F_313C_40E1_BC27_B55128053FAD_.wvu.PrintTitles" localSheetId="11" hidden="1">'(12) Tesorería'!$8:$9</definedName>
    <definedName name="Z_C8C25E0F_313C_40E1_BC27_B55128053FAD_.wvu.PrintTitles" localSheetId="1" hidden="1">'(2) Control Interno'!$8:$9</definedName>
    <definedName name="Z_C8C25E0F_313C_40E1_BC27_B55128053FAD_.wvu.PrintTitles" localSheetId="2" hidden="1">'(3) Juridica'!$8:$9</definedName>
    <definedName name="Z_C8C25E0F_313C_40E1_BC27_B55128053FAD_.wvu.PrintTitles" localSheetId="4" hidden="1">'(5) Talento Humano'!$8:$9</definedName>
    <definedName name="Z_C8C25E0F_313C_40E1_BC27_B55128053FAD_.wvu.PrintTitles" localSheetId="5" hidden="1">'(6) Seguridad y Salud T'!$8:$9</definedName>
    <definedName name="Z_C8C25E0F_313C_40E1_BC27_B55128053FAD_.wvu.PrintTitles" localSheetId="6" hidden="1">'(7) Sistemas'!$8:$9</definedName>
    <definedName name="Z_C8C25E0F_313C_40E1_BC27_B55128053FAD_.wvu.PrintTitles" localSheetId="7" hidden="1">'(8) Gestión Documental'!$8:$9</definedName>
    <definedName name="Z_C9A17BF0_2451_44C4_898F_CFB8403323EA_.wvu.Cols" localSheetId="0" hidden="1">'(1) Planeación'!$D:$D,'(1) Planeación'!$F:$F,'(1) Planeación'!$K:$M,'(1) Planeación'!$Q:$Q,'(1) Planeación'!$S:$T,'(1) Planeación'!$V:$V</definedName>
    <definedName name="Z_C9A17BF0_2451_44C4_898F_CFB8403323EA_.wvu.Cols" localSheetId="9" hidden="1">'(10) Contabilidad'!$D:$D,'(10) Contabilidad'!$F:$F,'(10) Contabilidad'!$K:$M,'(10) Contabilidad'!$Q:$Q,'(10) Contabilidad'!$S:$T,'(10) Contabilidad'!$V:$X</definedName>
    <definedName name="Z_C9A17BF0_2451_44C4_898F_CFB8403323EA_.wvu.Cols" localSheetId="10" hidden="1">'(11) Presupuesto'!$D:$D,'(11) Presupuesto'!$F:$F,'(11) Presupuesto'!$K:$M,'(11) Presupuesto'!$Q:$Q,'(11) Presupuesto'!$S:$T,'(11) Presupuesto'!$V:$X</definedName>
    <definedName name="Z_C9A17BF0_2451_44C4_898F_CFB8403323EA_.wvu.Cols" localSheetId="1" hidden="1">'(2) Control Interno'!$D:$D,'(2) Control Interno'!$F:$F,'(2) Control Interno'!$K:$M,'(2) Control Interno'!$Q:$Q,'(2) Control Interno'!$S:$T,'(2) Control Interno'!$V:$X</definedName>
    <definedName name="Z_C9A17BF0_2451_44C4_898F_CFB8403323EA_.wvu.Cols" localSheetId="2" hidden="1">'(3) Juridica'!$D:$D,'(3) Juridica'!$F:$F,'(3) Juridica'!$K:$M,'(3) Juridica'!$Q:$Q,'(3) Juridica'!$S:$T,'(3) Juridica'!$V:$X</definedName>
    <definedName name="Z_C9A17BF0_2451_44C4_898F_CFB8403323EA_.wvu.Cols" localSheetId="3" hidden="1">'(4) Calidad'!$D:$D,'(4) Calidad'!$F:$F,'(4) Calidad'!$K:$M,'(4) Calidad'!$Q:$Q,'(4) Calidad'!$S:$T,'(4) Calidad'!$V:$X</definedName>
    <definedName name="Z_C9A17BF0_2451_44C4_898F_CFB8403323EA_.wvu.Cols" localSheetId="4" hidden="1">'(5) Talento Humano'!$D:$D,'(5) Talento Humano'!$F:$F,'(5) Talento Humano'!$K:$M,'(5) Talento Humano'!$Q:$Q,'(5) Talento Humano'!$S:$T,'(5) Talento Humano'!$V:$X</definedName>
    <definedName name="Z_C9A17BF0_2451_44C4_898F_CFB8403323EA_.wvu.Cols" localSheetId="5" hidden="1">'(6) Seguridad y Salud T'!$D:$D,'(6) Seguridad y Salud T'!$F:$F,'(6) Seguridad y Salud T'!$K:$M,'(6) Seguridad y Salud T'!$Q:$Q,'(6) Seguridad y Salud T'!$S:$T,'(6) Seguridad y Salud T'!$V:$X</definedName>
    <definedName name="Z_C9A17BF0_2451_44C4_898F_CFB8403323EA_.wvu.Cols" localSheetId="16" hidden="1">Resumen!$Q:$AE,Resumen!$AH:$AX</definedName>
    <definedName name="Z_C9A17BF0_2451_44C4_898F_CFB8403323EA_.wvu.PrintArea" localSheetId="9" hidden="1">'(10) Contabilidad'!$A$1:$V$12</definedName>
    <definedName name="Z_C9A17BF0_2451_44C4_898F_CFB8403323EA_.wvu.PrintArea" localSheetId="10" hidden="1">'(11) Presupuesto'!$A$1:$V$11</definedName>
    <definedName name="Z_C9A17BF0_2451_44C4_898F_CFB8403323EA_.wvu.PrintArea" localSheetId="11" hidden="1">'(12) Tesorería'!$A$1:$V$13</definedName>
    <definedName name="Z_C9A17BF0_2451_44C4_898F_CFB8403323EA_.wvu.PrintArea" localSheetId="12" hidden="1">'(13) Facturacion y glosas'!$A$1:$V$14</definedName>
    <definedName name="Z_C9A17BF0_2451_44C4_898F_CFB8403323EA_.wvu.PrintArea" localSheetId="13" hidden="1">'(14) Compras, bienes y suminis'!$A$1:$V$12</definedName>
    <definedName name="Z_C9A17BF0_2451_44C4_898F_CFB8403323EA_.wvu.PrintArea" localSheetId="14" hidden="1">'(15) Mantenimiento'!$A$1:$V$11</definedName>
    <definedName name="Z_C9A17BF0_2451_44C4_898F_CFB8403323EA_.wvu.PrintArea" localSheetId="1" hidden="1">'(2) Control Interno'!$A$2:$V$18</definedName>
    <definedName name="Z_C9A17BF0_2451_44C4_898F_CFB8403323EA_.wvu.PrintArea" localSheetId="2" hidden="1">'(3) Juridica'!$A$1:$V$14</definedName>
    <definedName name="Z_C9A17BF0_2451_44C4_898F_CFB8403323EA_.wvu.PrintArea" localSheetId="3" hidden="1">'(4) Calidad'!$A$1:$V$12</definedName>
    <definedName name="Z_C9A17BF0_2451_44C4_898F_CFB8403323EA_.wvu.PrintArea" localSheetId="4" hidden="1">'(5) Talento Humano'!$A$1:$V$13</definedName>
    <definedName name="Z_C9A17BF0_2451_44C4_898F_CFB8403323EA_.wvu.PrintArea" localSheetId="5" hidden="1">'(6) Seguridad y Salud T'!$A$1:$V$10</definedName>
    <definedName name="Z_C9A17BF0_2451_44C4_898F_CFB8403323EA_.wvu.PrintArea" localSheetId="6" hidden="1">'(7) Sistemas'!$A$1:$U$13</definedName>
    <definedName name="Z_C9A17BF0_2451_44C4_898F_CFB8403323EA_.wvu.PrintArea" localSheetId="7" hidden="1">'(8) Gestión Documental'!$A$1:$V$12</definedName>
    <definedName name="Z_C9A17BF0_2451_44C4_898F_CFB8403323EA_.wvu.PrintArea" localSheetId="8" hidden="1">'(9) Cartera'!$A$1:$V$12</definedName>
    <definedName name="Z_C9A17BF0_2451_44C4_898F_CFB8403323EA_.wvu.PrintArea" localSheetId="17" hidden="1">Evolución!$K$1:$Q$10</definedName>
    <definedName name="Z_C9A17BF0_2451_44C4_898F_CFB8403323EA_.wvu.PrintArea" localSheetId="19" hidden="1">Impactos!$A$1:$G$12</definedName>
    <definedName name="Z_C9A17BF0_2451_44C4_898F_CFB8403323EA_.wvu.PrintArea" localSheetId="16" hidden="1">Resumen!$A$1:$O$30</definedName>
    <definedName name="Z_C9A17BF0_2451_44C4_898F_CFB8403323EA_.wvu.PrintTitles" localSheetId="9" hidden="1">'(10) Contabilidad'!$8:$9</definedName>
    <definedName name="Z_C9A17BF0_2451_44C4_898F_CFB8403323EA_.wvu.PrintTitles" localSheetId="10" hidden="1">'(11) Presupuesto'!$8:$9</definedName>
    <definedName name="Z_C9A17BF0_2451_44C4_898F_CFB8403323EA_.wvu.PrintTitles" localSheetId="11" hidden="1">'(12) Tesorería'!$8:$9</definedName>
    <definedName name="Z_C9A17BF0_2451_44C4_898F_CFB8403323EA_.wvu.PrintTitles" localSheetId="1" hidden="1">'(2) Control Interno'!$8:$9</definedName>
    <definedName name="Z_C9A17BF0_2451_44C4_898F_CFB8403323EA_.wvu.PrintTitles" localSheetId="2" hidden="1">'(3) Juridica'!$8:$9</definedName>
    <definedName name="Z_C9A17BF0_2451_44C4_898F_CFB8403323EA_.wvu.PrintTitles" localSheetId="4" hidden="1">'(5) Talento Humano'!$8:$9</definedName>
    <definedName name="Z_C9A17BF0_2451_44C4_898F_CFB8403323EA_.wvu.PrintTitles" localSheetId="5" hidden="1">'(6) Seguridad y Salud T'!$8:$9</definedName>
    <definedName name="Z_C9A17BF0_2451_44C4_898F_CFB8403323EA_.wvu.PrintTitles" localSheetId="6" hidden="1">'(7) Sistemas'!$8:$9</definedName>
    <definedName name="Z_C9A17BF0_2451_44C4_898F_CFB8403323EA_.wvu.PrintTitles" localSheetId="7" hidden="1">'(8) Gestión Documental'!$8:$9</definedName>
    <definedName name="Z_C9A812A3_B23E_4057_8694_158B0DEE8D06_.wvu.Cols" localSheetId="0" hidden="1">'(1) Planeación'!$D:$D,'(1) Planeación'!$F:$F,'(1) Planeación'!$K:$M,'(1) Planeación'!$Q:$Q,'(1) Planeación'!$S:$T,'(1) Planeación'!$V:$V</definedName>
    <definedName name="Z_C9A812A3_B23E_4057_8694_158B0DEE8D06_.wvu.Cols" localSheetId="1" hidden="1">'(2) Control Interno'!$D:$D,'(2) Control Interno'!$F:$F,'(2) Control Interno'!$K:$M,'(2) Control Interno'!$Q:$Q,'(2) Control Interno'!$S:$T,'(2) Control Interno'!$V:$X</definedName>
    <definedName name="Z_C9A812A3_B23E_4057_8694_158B0DEE8D06_.wvu.Cols" localSheetId="2" hidden="1">'(3) Juridica'!$D:$D,'(3) Juridica'!$F:$F,'(3) Juridica'!$K:$M,'(3) Juridica'!$Q:$Q,'(3) Juridica'!$S:$T,'(3) Juridica'!$V:$X</definedName>
    <definedName name="Z_C9A812A3_B23E_4057_8694_158B0DEE8D06_.wvu.Cols" localSheetId="16" hidden="1">Resumen!$Q:$AE,Resumen!$AH:$AX</definedName>
    <definedName name="Z_C9A812A3_B23E_4057_8694_158B0DEE8D06_.wvu.PrintArea" localSheetId="9" hidden="1">'(10) Contabilidad'!$A$1:$V$12</definedName>
    <definedName name="Z_C9A812A3_B23E_4057_8694_158B0DEE8D06_.wvu.PrintArea" localSheetId="10" hidden="1">'(11) Presupuesto'!$A$1:$V$11</definedName>
    <definedName name="Z_C9A812A3_B23E_4057_8694_158B0DEE8D06_.wvu.PrintArea" localSheetId="11" hidden="1">'(12) Tesorería'!$A$1:$V$13</definedName>
    <definedName name="Z_C9A812A3_B23E_4057_8694_158B0DEE8D06_.wvu.PrintArea" localSheetId="12" hidden="1">'(13) Facturacion y glosas'!$A$1:$V$14</definedName>
    <definedName name="Z_C9A812A3_B23E_4057_8694_158B0DEE8D06_.wvu.PrintArea" localSheetId="13" hidden="1">'(14) Compras, bienes y suminis'!$A$1:$V$12</definedName>
    <definedName name="Z_C9A812A3_B23E_4057_8694_158B0DEE8D06_.wvu.PrintArea" localSheetId="14" hidden="1">'(15) Mantenimiento'!$A$1:$V$11</definedName>
    <definedName name="Z_C9A812A3_B23E_4057_8694_158B0DEE8D06_.wvu.PrintArea" localSheetId="1" hidden="1">'(2) Control Interno'!$A$2:$V$18</definedName>
    <definedName name="Z_C9A812A3_B23E_4057_8694_158B0DEE8D06_.wvu.PrintArea" localSheetId="2" hidden="1">'(3) Juridica'!$A$1:$V$14</definedName>
    <definedName name="Z_C9A812A3_B23E_4057_8694_158B0DEE8D06_.wvu.PrintArea" localSheetId="3" hidden="1">'(4) Calidad'!$A$1:$V$12</definedName>
    <definedName name="Z_C9A812A3_B23E_4057_8694_158B0DEE8D06_.wvu.PrintArea" localSheetId="4" hidden="1">'(5) Talento Humano'!$A$1:$V$13</definedName>
    <definedName name="Z_C9A812A3_B23E_4057_8694_158B0DEE8D06_.wvu.PrintArea" localSheetId="5" hidden="1">'(6) Seguridad y Salud T'!$A$1:$V$10</definedName>
    <definedName name="Z_C9A812A3_B23E_4057_8694_158B0DEE8D06_.wvu.PrintArea" localSheetId="6" hidden="1">'(7) Sistemas'!$A$1:$U$13</definedName>
    <definedName name="Z_C9A812A3_B23E_4057_8694_158B0DEE8D06_.wvu.PrintArea" localSheetId="7" hidden="1">'(8) Gestión Documental'!$A$1:$V$12</definedName>
    <definedName name="Z_C9A812A3_B23E_4057_8694_158B0DEE8D06_.wvu.PrintArea" localSheetId="8" hidden="1">'(9) Cartera'!$A$1:$V$12</definedName>
    <definedName name="Z_C9A812A3_B23E_4057_8694_158B0DEE8D06_.wvu.PrintArea" localSheetId="17" hidden="1">Evolución!$K$1:$Q$10</definedName>
    <definedName name="Z_C9A812A3_B23E_4057_8694_158B0DEE8D06_.wvu.PrintArea" localSheetId="19" hidden="1">Impactos!$A$1:$G$12</definedName>
    <definedName name="Z_C9A812A3_B23E_4057_8694_158B0DEE8D06_.wvu.PrintArea" localSheetId="16" hidden="1">Resumen!$A$1:$O$30</definedName>
    <definedName name="Z_C9A812A3_B23E_4057_8694_158B0DEE8D06_.wvu.PrintTitles" localSheetId="9" hidden="1">'(10) Contabilidad'!$8:$9</definedName>
    <definedName name="Z_C9A812A3_B23E_4057_8694_158B0DEE8D06_.wvu.PrintTitles" localSheetId="10" hidden="1">'(11) Presupuesto'!$8:$9</definedName>
    <definedName name="Z_C9A812A3_B23E_4057_8694_158B0DEE8D06_.wvu.PrintTitles" localSheetId="11" hidden="1">'(12) Tesorería'!$8:$9</definedName>
    <definedName name="Z_C9A812A3_B23E_4057_8694_158B0DEE8D06_.wvu.PrintTitles" localSheetId="1" hidden="1">'(2) Control Interno'!$8:$9</definedName>
    <definedName name="Z_C9A812A3_B23E_4057_8694_158B0DEE8D06_.wvu.PrintTitles" localSheetId="2" hidden="1">'(3) Juridica'!$8:$9</definedName>
    <definedName name="Z_C9A812A3_B23E_4057_8694_158B0DEE8D06_.wvu.PrintTitles" localSheetId="4" hidden="1">'(5) Talento Humano'!$8:$9</definedName>
    <definedName name="Z_C9A812A3_B23E_4057_8694_158B0DEE8D06_.wvu.PrintTitles" localSheetId="5" hidden="1">'(6) Seguridad y Salud T'!$8:$9</definedName>
    <definedName name="Z_C9A812A3_B23E_4057_8694_158B0DEE8D06_.wvu.PrintTitles" localSheetId="6" hidden="1">'(7) Sistemas'!$8:$9</definedName>
    <definedName name="Z_C9A812A3_B23E_4057_8694_158B0DEE8D06_.wvu.PrintTitles" localSheetId="7" hidden="1">'(8) Gestión Documental'!$8:$9</definedName>
    <definedName name="Z_CC42E740_ADA2_4B3E_AB77_9BBCCE9EC444_.wvu.Cols" localSheetId="0" hidden="1">'(1) Planeación'!$D:$D,'(1) Planeación'!$F:$F,'(1) Planeación'!$K:$M,'(1) Planeación'!$Q:$Q,'(1) Planeación'!$S:$T,'(1) Planeación'!$V:$V</definedName>
    <definedName name="Z_CC42E740_ADA2_4B3E_AB77_9BBCCE9EC444_.wvu.Cols" localSheetId="9" hidden="1">'(10) Contabilidad'!$D:$D,'(10) Contabilidad'!$F:$F,'(10) Contabilidad'!$K:$M,'(10) Contabilidad'!$Q:$Q,'(10) Contabilidad'!$S:$T,'(10) Contabilidad'!$V:$X</definedName>
    <definedName name="Z_CC42E740_ADA2_4B3E_AB77_9BBCCE9EC444_.wvu.Cols" localSheetId="10" hidden="1">'(11) Presupuesto'!$D:$D,'(11) Presupuesto'!$F:$F,'(11) Presupuesto'!$K:$M,'(11) Presupuesto'!$Q:$Q,'(11) Presupuesto'!$S:$T,'(11) Presupuesto'!$V:$X</definedName>
    <definedName name="Z_CC42E740_ADA2_4B3E_AB77_9BBCCE9EC444_.wvu.Cols" localSheetId="11" hidden="1">'(12) Tesorería'!$D:$D,'(12) Tesorería'!$F:$F,'(12) Tesorería'!$K:$M,'(12) Tesorería'!$Q:$Q,'(12) Tesorería'!$S:$T,'(12) Tesorería'!$V:$X</definedName>
    <definedName name="Z_CC42E740_ADA2_4B3E_AB77_9BBCCE9EC444_.wvu.Cols" localSheetId="1" hidden="1">'(2) Control Interno'!$D:$D,'(2) Control Interno'!$F:$F,'(2) Control Interno'!$K:$M,'(2) Control Interno'!$Q:$Q,'(2) Control Interno'!$S:$T,'(2) Control Interno'!$V:$X</definedName>
    <definedName name="Z_CC42E740_ADA2_4B3E_AB77_9BBCCE9EC444_.wvu.Cols" localSheetId="2" hidden="1">'(3) Juridica'!$D:$D,'(3) Juridica'!$F:$F,'(3) Juridica'!$K:$M,'(3) Juridica'!$Q:$Q,'(3) Juridica'!$S:$T,'(3) Juridica'!$V:$X</definedName>
    <definedName name="Z_CC42E740_ADA2_4B3E_AB77_9BBCCE9EC444_.wvu.Cols" localSheetId="3" hidden="1">'(4) Calidad'!$D:$D,'(4) Calidad'!$F:$F,'(4) Calidad'!$K:$M,'(4) Calidad'!$Q:$Q,'(4) Calidad'!$S:$T,'(4) Calidad'!$V:$X</definedName>
    <definedName name="Z_CC42E740_ADA2_4B3E_AB77_9BBCCE9EC444_.wvu.Cols" localSheetId="4" hidden="1">'(5) Talento Humano'!$D:$D,'(5) Talento Humano'!$F:$F,'(5) Talento Humano'!$K:$M,'(5) Talento Humano'!$Q:$Q,'(5) Talento Humano'!$S:$T,'(5) Talento Humano'!$V:$X</definedName>
    <definedName name="Z_CC42E740_ADA2_4B3E_AB77_9BBCCE9EC444_.wvu.Cols" localSheetId="5" hidden="1">'(6) Seguridad y Salud T'!$D:$D,'(6) Seguridad y Salud T'!$F:$F,'(6) Seguridad y Salud T'!$K:$M,'(6) Seguridad y Salud T'!$Q:$Q,'(6) Seguridad y Salud T'!$S:$T,'(6) Seguridad y Salud T'!$V:$X</definedName>
    <definedName name="Z_CC42E740_ADA2_4B3E_AB77_9BBCCE9EC444_.wvu.Cols" localSheetId="16" hidden="1">Resumen!$Q:$AE,Resumen!$AH:$AX</definedName>
    <definedName name="Z_CC42E740_ADA2_4B3E_AB77_9BBCCE9EC444_.wvu.PrintArea" localSheetId="9" hidden="1">'(10) Contabilidad'!$A$1:$V$12</definedName>
    <definedName name="Z_CC42E740_ADA2_4B3E_AB77_9BBCCE9EC444_.wvu.PrintArea" localSheetId="10" hidden="1">'(11) Presupuesto'!$A$1:$V$11</definedName>
    <definedName name="Z_CC42E740_ADA2_4B3E_AB77_9BBCCE9EC444_.wvu.PrintArea" localSheetId="11" hidden="1">'(12) Tesorería'!$A$1:$V$13</definedName>
    <definedName name="Z_CC42E740_ADA2_4B3E_AB77_9BBCCE9EC444_.wvu.PrintArea" localSheetId="12" hidden="1">'(13) Facturacion y glosas'!$A$1:$V$14</definedName>
    <definedName name="Z_CC42E740_ADA2_4B3E_AB77_9BBCCE9EC444_.wvu.PrintArea" localSheetId="13" hidden="1">'(14) Compras, bienes y suminis'!$A$1:$V$12</definedName>
    <definedName name="Z_CC42E740_ADA2_4B3E_AB77_9BBCCE9EC444_.wvu.PrintArea" localSheetId="14" hidden="1">'(15) Mantenimiento'!$A$1:$V$11</definedName>
    <definedName name="Z_CC42E740_ADA2_4B3E_AB77_9BBCCE9EC444_.wvu.PrintArea" localSheetId="1" hidden="1">'(2) Control Interno'!$A$2:$V$18</definedName>
    <definedName name="Z_CC42E740_ADA2_4B3E_AB77_9BBCCE9EC444_.wvu.PrintArea" localSheetId="2" hidden="1">'(3) Juridica'!$A$1:$V$14</definedName>
    <definedName name="Z_CC42E740_ADA2_4B3E_AB77_9BBCCE9EC444_.wvu.PrintArea" localSheetId="3" hidden="1">'(4) Calidad'!$A$1:$V$12</definedName>
    <definedName name="Z_CC42E740_ADA2_4B3E_AB77_9BBCCE9EC444_.wvu.PrintArea" localSheetId="4" hidden="1">'(5) Talento Humano'!$A$1:$V$13</definedName>
    <definedName name="Z_CC42E740_ADA2_4B3E_AB77_9BBCCE9EC444_.wvu.PrintArea" localSheetId="5" hidden="1">'(6) Seguridad y Salud T'!$A$1:$V$10</definedName>
    <definedName name="Z_CC42E740_ADA2_4B3E_AB77_9BBCCE9EC444_.wvu.PrintArea" localSheetId="6" hidden="1">'(7) Sistemas'!$A$1:$U$13</definedName>
    <definedName name="Z_CC42E740_ADA2_4B3E_AB77_9BBCCE9EC444_.wvu.PrintArea" localSheetId="7" hidden="1">'(8) Gestión Documental'!$A$1:$V$12</definedName>
    <definedName name="Z_CC42E740_ADA2_4B3E_AB77_9BBCCE9EC444_.wvu.PrintArea" localSheetId="8" hidden="1">'(9) Cartera'!$A$1:$V$12</definedName>
    <definedName name="Z_CC42E740_ADA2_4B3E_AB77_9BBCCE9EC444_.wvu.PrintArea" localSheetId="17" hidden="1">Evolución!$K$1:$Q$10</definedName>
    <definedName name="Z_CC42E740_ADA2_4B3E_AB77_9BBCCE9EC444_.wvu.PrintArea" localSheetId="19" hidden="1">Impactos!$A$1:$G$12</definedName>
    <definedName name="Z_CC42E740_ADA2_4B3E_AB77_9BBCCE9EC444_.wvu.PrintArea" localSheetId="16" hidden="1">Resumen!$A$1:$O$30</definedName>
    <definedName name="Z_CC42E740_ADA2_4B3E_AB77_9BBCCE9EC444_.wvu.PrintTitles" localSheetId="9" hidden="1">'(10) Contabilidad'!$8:$9</definedName>
    <definedName name="Z_CC42E740_ADA2_4B3E_AB77_9BBCCE9EC444_.wvu.PrintTitles" localSheetId="10" hidden="1">'(11) Presupuesto'!$8:$9</definedName>
    <definedName name="Z_CC42E740_ADA2_4B3E_AB77_9BBCCE9EC444_.wvu.PrintTitles" localSheetId="11" hidden="1">'(12) Tesorería'!$8:$9</definedName>
    <definedName name="Z_CC42E740_ADA2_4B3E_AB77_9BBCCE9EC444_.wvu.PrintTitles" localSheetId="1" hidden="1">'(2) Control Interno'!$8:$9</definedName>
    <definedName name="Z_CC42E740_ADA2_4B3E_AB77_9BBCCE9EC444_.wvu.PrintTitles" localSheetId="2" hidden="1">'(3) Juridica'!$8:$9</definedName>
    <definedName name="Z_CC42E740_ADA2_4B3E_AB77_9BBCCE9EC444_.wvu.PrintTitles" localSheetId="4" hidden="1">'(5) Talento Humano'!$8:$9</definedName>
    <definedName name="Z_CC42E740_ADA2_4B3E_AB77_9BBCCE9EC444_.wvu.PrintTitles" localSheetId="5" hidden="1">'(6) Seguridad y Salud T'!$8:$9</definedName>
    <definedName name="Z_CC42E740_ADA2_4B3E_AB77_9BBCCE9EC444_.wvu.PrintTitles" localSheetId="6" hidden="1">'(7) Sistemas'!$8:$9</definedName>
    <definedName name="Z_CC42E740_ADA2_4B3E_AB77_9BBCCE9EC444_.wvu.PrintTitles" localSheetId="7" hidden="1">'(8) Gestión Documental'!$8:$9</definedName>
    <definedName name="Z_D504B807_AE7E_4042_848D_21D8E9CBBAC1_.wvu.Cols" localSheetId="0" hidden="1">'(1) Planeación'!$D:$D,'(1) Planeación'!$F:$F,'(1) Planeación'!$K:$M,'(1) Planeación'!$Q:$Q,'(1) Planeación'!$S:$T,'(1) Planeación'!$V:$V</definedName>
    <definedName name="Z_D504B807_AE7E_4042_848D_21D8E9CBBAC1_.wvu.Cols" localSheetId="1" hidden="1">'(2) Control Interno'!$D:$D,'(2) Control Interno'!$F:$F,'(2) Control Interno'!$K:$M,'(2) Control Interno'!$Q:$Q,'(2) Control Interno'!$S:$T,'(2) Control Interno'!$V:$X</definedName>
    <definedName name="Z_D504B807_AE7E_4042_848D_21D8E9CBBAC1_.wvu.Cols" localSheetId="16" hidden="1">Resumen!$Q:$AE,Resumen!$AH:$AX</definedName>
    <definedName name="Z_D504B807_AE7E_4042_848D_21D8E9CBBAC1_.wvu.PrintArea" localSheetId="9" hidden="1">'(10) Contabilidad'!$A$1:$V$12</definedName>
    <definedName name="Z_D504B807_AE7E_4042_848D_21D8E9CBBAC1_.wvu.PrintArea" localSheetId="10" hidden="1">'(11) Presupuesto'!$A$1:$V$11</definedName>
    <definedName name="Z_D504B807_AE7E_4042_848D_21D8E9CBBAC1_.wvu.PrintArea" localSheetId="11" hidden="1">'(12) Tesorería'!$A$1:$V$13</definedName>
    <definedName name="Z_D504B807_AE7E_4042_848D_21D8E9CBBAC1_.wvu.PrintArea" localSheetId="12" hidden="1">'(13) Facturacion y glosas'!$A$1:$V$14</definedName>
    <definedName name="Z_D504B807_AE7E_4042_848D_21D8E9CBBAC1_.wvu.PrintArea" localSheetId="13" hidden="1">'(14) Compras, bienes y suminis'!$A$1:$V$12</definedName>
    <definedName name="Z_D504B807_AE7E_4042_848D_21D8E9CBBAC1_.wvu.PrintArea" localSheetId="14" hidden="1">'(15) Mantenimiento'!$A$1:$V$11</definedName>
    <definedName name="Z_D504B807_AE7E_4042_848D_21D8E9CBBAC1_.wvu.PrintArea" localSheetId="1" hidden="1">'(2) Control Interno'!$A$2:$V$13</definedName>
    <definedName name="Z_D504B807_AE7E_4042_848D_21D8E9CBBAC1_.wvu.PrintArea" localSheetId="2" hidden="1">'(3) Juridica'!$A$1:$V$14</definedName>
    <definedName name="Z_D504B807_AE7E_4042_848D_21D8E9CBBAC1_.wvu.PrintArea" localSheetId="3" hidden="1">'(4) Calidad'!$A$1:$V$12</definedName>
    <definedName name="Z_D504B807_AE7E_4042_848D_21D8E9CBBAC1_.wvu.PrintArea" localSheetId="4" hidden="1">'(5) Talento Humano'!$A$1:$V$13</definedName>
    <definedName name="Z_D504B807_AE7E_4042_848D_21D8E9CBBAC1_.wvu.PrintArea" localSheetId="5" hidden="1">'(6) Seguridad y Salud T'!$A$1:$V$10</definedName>
    <definedName name="Z_D504B807_AE7E_4042_848D_21D8E9CBBAC1_.wvu.PrintArea" localSheetId="6" hidden="1">'(7) Sistemas'!$A$1:$U$13</definedName>
    <definedName name="Z_D504B807_AE7E_4042_848D_21D8E9CBBAC1_.wvu.PrintArea" localSheetId="7" hidden="1">'(8) Gestión Documental'!$A$1:$V$12</definedName>
    <definedName name="Z_D504B807_AE7E_4042_848D_21D8E9CBBAC1_.wvu.PrintArea" localSheetId="8" hidden="1">'(9) Cartera'!$A$1:$V$12</definedName>
    <definedName name="Z_D504B807_AE7E_4042_848D_21D8E9CBBAC1_.wvu.PrintArea" localSheetId="17" hidden="1">Evolución!$K$1:$Q$10</definedName>
    <definedName name="Z_D504B807_AE7E_4042_848D_21D8E9CBBAC1_.wvu.PrintArea" localSheetId="19" hidden="1">Impactos!$A$1:$G$12</definedName>
    <definedName name="Z_D504B807_AE7E_4042_848D_21D8E9CBBAC1_.wvu.PrintArea" localSheetId="16" hidden="1">Resumen!$A$1:$O$30</definedName>
    <definedName name="Z_D504B807_AE7E_4042_848D_21D8E9CBBAC1_.wvu.PrintTitles" localSheetId="9" hidden="1">'(10) Contabilidad'!$8:$9</definedName>
    <definedName name="Z_D504B807_AE7E_4042_848D_21D8E9CBBAC1_.wvu.PrintTitles" localSheetId="10" hidden="1">'(11) Presupuesto'!$8:$9</definedName>
    <definedName name="Z_D504B807_AE7E_4042_848D_21D8E9CBBAC1_.wvu.PrintTitles" localSheetId="11" hidden="1">'(12) Tesorería'!$8:$9</definedName>
    <definedName name="Z_D504B807_AE7E_4042_848D_21D8E9CBBAC1_.wvu.PrintTitles" localSheetId="1" hidden="1">'(2) Control Interno'!$8:$9</definedName>
    <definedName name="Z_D504B807_AE7E_4042_848D_21D8E9CBBAC1_.wvu.PrintTitles" localSheetId="2" hidden="1">'(3) Juridica'!$8:$9</definedName>
    <definedName name="Z_D504B807_AE7E_4042_848D_21D8E9CBBAC1_.wvu.PrintTitles" localSheetId="4" hidden="1">'(5) Talento Humano'!$8:$9</definedName>
    <definedName name="Z_D504B807_AE7E_4042_848D_21D8E9CBBAC1_.wvu.PrintTitles" localSheetId="5" hidden="1">'(6) Seguridad y Salud T'!$8:$9</definedName>
    <definedName name="Z_D504B807_AE7E_4042_848D_21D8E9CBBAC1_.wvu.PrintTitles" localSheetId="6" hidden="1">'(7) Sistemas'!$8:$9</definedName>
    <definedName name="Z_D504B807_AE7E_4042_848D_21D8E9CBBAC1_.wvu.PrintTitles" localSheetId="7" hidden="1">'(8) Gestión Documental'!$8:$9</definedName>
    <definedName name="Z_D674221F_3F50_45D7_B99E_107AE99970DE_.wvu.Cols" localSheetId="0" hidden="1">'(1) Planeación'!$D:$D,'(1) Planeación'!$F:$F,'(1) Planeación'!$K:$M,'(1) Planeación'!$Q:$Q,'(1) Planeación'!$S:$T,'(1) Planeación'!$V:$V</definedName>
    <definedName name="Z_D674221F_3F50_45D7_B99E_107AE99970DE_.wvu.Cols" localSheetId="9" hidden="1">'(10) Contabilidad'!$D:$D,'(10) Contabilidad'!$F:$F,'(10) Contabilidad'!$K:$M,'(10) Contabilidad'!$Q:$Q,'(10) Contabilidad'!$S:$T,'(10) Contabilidad'!$V:$X</definedName>
    <definedName name="Z_D674221F_3F50_45D7_B99E_107AE99970DE_.wvu.Cols" localSheetId="10" hidden="1">'(11) Presupuesto'!$D:$D,'(11) Presupuesto'!$F:$F,'(11) Presupuesto'!$K:$M,'(11) Presupuesto'!$Q:$Q,'(11) Presupuesto'!$S:$T,'(11) Presupuesto'!$V:$X</definedName>
    <definedName name="Z_D674221F_3F50_45D7_B99E_107AE99970DE_.wvu.Cols" localSheetId="1" hidden="1">'(2) Control Interno'!$D:$D,'(2) Control Interno'!$F:$F,'(2) Control Interno'!$K:$M,'(2) Control Interno'!$Q:$Q,'(2) Control Interno'!$S:$T,'(2) Control Interno'!$V:$X</definedName>
    <definedName name="Z_D674221F_3F50_45D7_B99E_107AE99970DE_.wvu.Cols" localSheetId="2" hidden="1">'(3) Juridica'!$D:$D,'(3) Juridica'!$F:$F,'(3) Juridica'!$K:$M,'(3) Juridica'!$Q:$Q,'(3) Juridica'!$S:$T,'(3) Juridica'!$V:$X</definedName>
    <definedName name="Z_D674221F_3F50_45D7_B99E_107AE99970DE_.wvu.Cols" localSheetId="3" hidden="1">'(4) Calidad'!$D:$D,'(4) Calidad'!$F:$F,'(4) Calidad'!$K:$M,'(4) Calidad'!$Q:$Q,'(4) Calidad'!$S:$T,'(4) Calidad'!$V:$X</definedName>
    <definedName name="Z_D674221F_3F50_45D7_B99E_107AE99970DE_.wvu.Cols" localSheetId="4" hidden="1">'(5) Talento Humano'!$D:$D,'(5) Talento Humano'!$F:$F,'(5) Talento Humano'!$K:$M,'(5) Talento Humano'!$Q:$Q,'(5) Talento Humano'!$S:$T,'(5) Talento Humano'!$V:$X</definedName>
    <definedName name="Z_D674221F_3F50_45D7_B99E_107AE99970DE_.wvu.Cols" localSheetId="5" hidden="1">'(6) Seguridad y Salud T'!$D:$D,'(6) Seguridad y Salud T'!$F:$F,'(6) Seguridad y Salud T'!$K:$M,'(6) Seguridad y Salud T'!$Q:$Q,'(6) Seguridad y Salud T'!$S:$T,'(6) Seguridad y Salud T'!$V:$X</definedName>
    <definedName name="Z_D674221F_3F50_45D7_B99E_107AE99970DE_.wvu.Cols" localSheetId="16" hidden="1">Resumen!$Q:$AE,Resumen!$AH:$AX</definedName>
    <definedName name="Z_D674221F_3F50_45D7_B99E_107AE99970DE_.wvu.PrintArea" localSheetId="9" hidden="1">'(10) Contabilidad'!$A$1:$V$12</definedName>
    <definedName name="Z_D674221F_3F50_45D7_B99E_107AE99970DE_.wvu.PrintArea" localSheetId="10" hidden="1">'(11) Presupuesto'!$A$1:$V$11</definedName>
    <definedName name="Z_D674221F_3F50_45D7_B99E_107AE99970DE_.wvu.PrintArea" localSheetId="11" hidden="1">'(12) Tesorería'!$A$1:$V$13</definedName>
    <definedName name="Z_D674221F_3F50_45D7_B99E_107AE99970DE_.wvu.PrintArea" localSheetId="12" hidden="1">'(13) Facturacion y glosas'!$A$1:$V$14</definedName>
    <definedName name="Z_D674221F_3F50_45D7_B99E_107AE99970DE_.wvu.PrintArea" localSheetId="13" hidden="1">'(14) Compras, bienes y suminis'!$A$1:$V$12</definedName>
    <definedName name="Z_D674221F_3F50_45D7_B99E_107AE99970DE_.wvu.PrintArea" localSheetId="14" hidden="1">'(15) Mantenimiento'!$A$1:$V$11</definedName>
    <definedName name="Z_D674221F_3F50_45D7_B99E_107AE99970DE_.wvu.PrintArea" localSheetId="1" hidden="1">'(2) Control Interno'!$A$2:$V$18</definedName>
    <definedName name="Z_D674221F_3F50_45D7_B99E_107AE99970DE_.wvu.PrintArea" localSheetId="2" hidden="1">'(3) Juridica'!$A$1:$V$14</definedName>
    <definedName name="Z_D674221F_3F50_45D7_B99E_107AE99970DE_.wvu.PrintArea" localSheetId="3" hidden="1">'(4) Calidad'!$A$1:$V$12</definedName>
    <definedName name="Z_D674221F_3F50_45D7_B99E_107AE99970DE_.wvu.PrintArea" localSheetId="4" hidden="1">'(5) Talento Humano'!$A$1:$V$13</definedName>
    <definedName name="Z_D674221F_3F50_45D7_B99E_107AE99970DE_.wvu.PrintArea" localSheetId="5" hidden="1">'(6) Seguridad y Salud T'!$A$1:$V$10</definedName>
    <definedName name="Z_D674221F_3F50_45D7_B99E_107AE99970DE_.wvu.PrintArea" localSheetId="6" hidden="1">'(7) Sistemas'!$A$1:$U$13</definedName>
    <definedName name="Z_D674221F_3F50_45D7_B99E_107AE99970DE_.wvu.PrintArea" localSheetId="7" hidden="1">'(8) Gestión Documental'!$A$1:$V$12</definedName>
    <definedName name="Z_D674221F_3F50_45D7_B99E_107AE99970DE_.wvu.PrintArea" localSheetId="8" hidden="1">'(9) Cartera'!$A$1:$V$12</definedName>
    <definedName name="Z_D674221F_3F50_45D7_B99E_107AE99970DE_.wvu.PrintArea" localSheetId="17" hidden="1">Evolución!$K$1:$Q$10</definedName>
    <definedName name="Z_D674221F_3F50_45D7_B99E_107AE99970DE_.wvu.PrintArea" localSheetId="19" hidden="1">Impactos!$A$1:$G$12</definedName>
    <definedName name="Z_D674221F_3F50_45D7_B99E_107AE99970DE_.wvu.PrintArea" localSheetId="16" hidden="1">Resumen!$A$1:$O$30</definedName>
    <definedName name="Z_D674221F_3F50_45D7_B99E_107AE99970DE_.wvu.PrintTitles" localSheetId="9" hidden="1">'(10) Contabilidad'!$8:$9</definedName>
    <definedName name="Z_D674221F_3F50_45D7_B99E_107AE99970DE_.wvu.PrintTitles" localSheetId="10" hidden="1">'(11) Presupuesto'!$8:$9</definedName>
    <definedName name="Z_D674221F_3F50_45D7_B99E_107AE99970DE_.wvu.PrintTitles" localSheetId="11" hidden="1">'(12) Tesorería'!$8:$9</definedName>
    <definedName name="Z_D674221F_3F50_45D7_B99E_107AE99970DE_.wvu.PrintTitles" localSheetId="1" hidden="1">'(2) Control Interno'!$8:$9</definedName>
    <definedName name="Z_D674221F_3F50_45D7_B99E_107AE99970DE_.wvu.PrintTitles" localSheetId="2" hidden="1">'(3) Juridica'!$8:$9</definedName>
    <definedName name="Z_D674221F_3F50_45D7_B99E_107AE99970DE_.wvu.PrintTitles" localSheetId="4" hidden="1">'(5) Talento Humano'!$8:$9</definedName>
    <definedName name="Z_D674221F_3F50_45D7_B99E_107AE99970DE_.wvu.PrintTitles" localSheetId="5" hidden="1">'(6) Seguridad y Salud T'!$8:$9</definedName>
    <definedName name="Z_D674221F_3F50_45D7_B99E_107AE99970DE_.wvu.PrintTitles" localSheetId="6" hidden="1">'(7) Sistemas'!$8:$9</definedName>
    <definedName name="Z_D674221F_3F50_45D7_B99E_107AE99970DE_.wvu.PrintTitles" localSheetId="7" hidden="1">'(8) Gestión Documental'!$8:$9</definedName>
    <definedName name="Z_D8BB7E15_0E8F_45FC_AD1A_6D8C295A087C_.wvu.Cols" localSheetId="0" hidden="1">'(1) Planeación'!$D:$D,'(1) Planeación'!$F:$F,'(1) Planeación'!$K:$M,'(1) Planeación'!$Q:$Q,'(1) Planeación'!$S:$T,'(1) Planeación'!$V:$V</definedName>
    <definedName name="Z_D8BB7E15_0E8F_45FC_AD1A_6D8C295A087C_.wvu.Cols" localSheetId="9" hidden="1">'(10) Contabilidad'!$D:$D,'(10) Contabilidad'!$F:$F,'(10) Contabilidad'!$K:$M,'(10) Contabilidad'!$Q:$Q,'(10) Contabilidad'!$S:$T,'(10) Contabilidad'!$V:$X</definedName>
    <definedName name="Z_D8BB7E15_0E8F_45FC_AD1A_6D8C295A087C_.wvu.Cols" localSheetId="10" hidden="1">'(11) Presupuesto'!$D:$D,'(11) Presupuesto'!$F:$F,'(11) Presupuesto'!$K:$M,'(11) Presupuesto'!$Q:$Q,'(11) Presupuesto'!$S:$T,'(11) Presupuesto'!$V:$X</definedName>
    <definedName name="Z_D8BB7E15_0E8F_45FC_AD1A_6D8C295A087C_.wvu.Cols" localSheetId="11" hidden="1">'(12) Tesorería'!$D:$D,'(12) Tesorería'!$F:$F,'(12) Tesorería'!$K:$M,'(12) Tesorería'!$Q:$Q,'(12) Tesorería'!$S:$T,'(12) Tesorería'!$V:$X</definedName>
    <definedName name="Z_D8BB7E15_0E8F_45FC_AD1A_6D8C295A087C_.wvu.Cols" localSheetId="1" hidden="1">'(2) Control Interno'!$D:$D,'(2) Control Interno'!$F:$F,'(2) Control Interno'!$K:$M,'(2) Control Interno'!$Q:$Q,'(2) Control Interno'!$S:$T,'(2) Control Interno'!$V:$X</definedName>
    <definedName name="Z_D8BB7E15_0E8F_45FC_AD1A_6D8C295A087C_.wvu.Cols" localSheetId="2" hidden="1">'(3) Juridica'!$D:$D,'(3) Juridica'!$F:$F,'(3) Juridica'!$K:$M,'(3) Juridica'!$Q:$Q,'(3) Juridica'!$S:$T,'(3) Juridica'!$V:$X</definedName>
    <definedName name="Z_D8BB7E15_0E8F_45FC_AD1A_6D8C295A087C_.wvu.Cols" localSheetId="3" hidden="1">'(4) Calidad'!$D:$D,'(4) Calidad'!$F:$F,'(4) Calidad'!$K:$M,'(4) Calidad'!$Q:$Q,'(4) Calidad'!$S:$T,'(4) Calidad'!$V:$X</definedName>
    <definedName name="Z_D8BB7E15_0E8F_45FC_AD1A_6D8C295A087C_.wvu.Cols" localSheetId="4" hidden="1">'(5) Talento Humano'!$D:$D,'(5) Talento Humano'!$F:$F,'(5) Talento Humano'!$K:$M,'(5) Talento Humano'!$Q:$Q,'(5) Talento Humano'!$S:$T,'(5) Talento Humano'!$V:$X</definedName>
    <definedName name="Z_D8BB7E15_0E8F_45FC_AD1A_6D8C295A087C_.wvu.Cols" localSheetId="5" hidden="1">'(6) Seguridad y Salud T'!$D:$D,'(6) Seguridad y Salud T'!$F:$F,'(6) Seguridad y Salud T'!$K:$M,'(6) Seguridad y Salud T'!$Q:$Q,'(6) Seguridad y Salud T'!$S:$T,'(6) Seguridad y Salud T'!$V:$X</definedName>
    <definedName name="Z_D8BB7E15_0E8F_45FC_AD1A_6D8C295A087C_.wvu.Cols" localSheetId="6" hidden="1">'(7) Sistemas'!#REF!,'(7) Sistemas'!$E:$E,'(7) Sistemas'!$J:$L,'(7) Sistemas'!$P:$P,'(7) Sistemas'!$R:$S,'(7) Sistemas'!$U:$W</definedName>
    <definedName name="Z_D8BB7E15_0E8F_45FC_AD1A_6D8C295A087C_.wvu.Cols" localSheetId="7" hidden="1">'(8) Gestión Documental'!$D:$D,'(8) Gestión Documental'!$F:$F,'(8) Gestión Documental'!$K:$M,'(8) Gestión Documental'!$Q:$Q,'(8) Gestión Documental'!$S:$T,'(8) Gestión Documental'!$V:$X</definedName>
    <definedName name="Z_D8BB7E15_0E8F_45FC_AD1A_6D8C295A087C_.wvu.Cols" localSheetId="16" hidden="1">Resumen!$Q:$AE,Resumen!$AH:$AX</definedName>
    <definedName name="Z_D8BB7E15_0E8F_45FC_AD1A_6D8C295A087C_.wvu.PrintArea" localSheetId="9" hidden="1">'(10) Contabilidad'!$A$1:$V$12</definedName>
    <definedName name="Z_D8BB7E15_0E8F_45FC_AD1A_6D8C295A087C_.wvu.PrintArea" localSheetId="10" hidden="1">'(11) Presupuesto'!$A$1:$V$11</definedName>
    <definedName name="Z_D8BB7E15_0E8F_45FC_AD1A_6D8C295A087C_.wvu.PrintArea" localSheetId="11" hidden="1">'(12) Tesorería'!$A$1:$V$13</definedName>
    <definedName name="Z_D8BB7E15_0E8F_45FC_AD1A_6D8C295A087C_.wvu.PrintArea" localSheetId="12" hidden="1">'(13) Facturacion y glosas'!$A$1:$V$14</definedName>
    <definedName name="Z_D8BB7E15_0E8F_45FC_AD1A_6D8C295A087C_.wvu.PrintArea" localSheetId="13" hidden="1">'(14) Compras, bienes y suminis'!$A$1:$V$12</definedName>
    <definedName name="Z_D8BB7E15_0E8F_45FC_AD1A_6D8C295A087C_.wvu.PrintArea" localSheetId="14" hidden="1">'(15) Mantenimiento'!$A$1:$V$11</definedName>
    <definedName name="Z_D8BB7E15_0E8F_45FC_AD1A_6D8C295A087C_.wvu.PrintArea" localSheetId="1" hidden="1">'(2) Control Interno'!$A$2:$V$18</definedName>
    <definedName name="Z_D8BB7E15_0E8F_45FC_AD1A_6D8C295A087C_.wvu.PrintArea" localSheetId="2" hidden="1">'(3) Juridica'!$A$1:$V$14</definedName>
    <definedName name="Z_D8BB7E15_0E8F_45FC_AD1A_6D8C295A087C_.wvu.PrintArea" localSheetId="3" hidden="1">'(4) Calidad'!$A$1:$V$12</definedName>
    <definedName name="Z_D8BB7E15_0E8F_45FC_AD1A_6D8C295A087C_.wvu.PrintArea" localSheetId="4" hidden="1">'(5) Talento Humano'!$A$1:$V$13</definedName>
    <definedName name="Z_D8BB7E15_0E8F_45FC_AD1A_6D8C295A087C_.wvu.PrintArea" localSheetId="5" hidden="1">'(6) Seguridad y Salud T'!$A$1:$V$10</definedName>
    <definedName name="Z_D8BB7E15_0E8F_45FC_AD1A_6D8C295A087C_.wvu.PrintArea" localSheetId="6" hidden="1">'(7) Sistemas'!$A$1:$U$13</definedName>
    <definedName name="Z_D8BB7E15_0E8F_45FC_AD1A_6D8C295A087C_.wvu.PrintArea" localSheetId="7" hidden="1">'(8) Gestión Documental'!$A$1:$V$12</definedName>
    <definedName name="Z_D8BB7E15_0E8F_45FC_AD1A_6D8C295A087C_.wvu.PrintArea" localSheetId="8" hidden="1">'(9) Cartera'!$A$1:$V$12</definedName>
    <definedName name="Z_D8BB7E15_0E8F_45FC_AD1A_6D8C295A087C_.wvu.PrintArea" localSheetId="17" hidden="1">Evolución!$K$1:$Q$10</definedName>
    <definedName name="Z_D8BB7E15_0E8F_45FC_AD1A_6D8C295A087C_.wvu.PrintArea" localSheetId="19" hidden="1">Impactos!$A$1:$G$12</definedName>
    <definedName name="Z_D8BB7E15_0E8F_45FC_AD1A_6D8C295A087C_.wvu.PrintArea" localSheetId="16" hidden="1">Resumen!$A$1:$O$30</definedName>
    <definedName name="Z_D8BB7E15_0E8F_45FC_AD1A_6D8C295A087C_.wvu.PrintTitles" localSheetId="9" hidden="1">'(10) Contabilidad'!$8:$9</definedName>
    <definedName name="Z_D8BB7E15_0E8F_45FC_AD1A_6D8C295A087C_.wvu.PrintTitles" localSheetId="10" hidden="1">'(11) Presupuesto'!$8:$9</definedName>
    <definedName name="Z_D8BB7E15_0E8F_45FC_AD1A_6D8C295A087C_.wvu.PrintTitles" localSheetId="11" hidden="1">'(12) Tesorería'!$8:$9</definedName>
    <definedName name="Z_D8BB7E15_0E8F_45FC_AD1A_6D8C295A087C_.wvu.PrintTitles" localSheetId="1" hidden="1">'(2) Control Interno'!$8:$9</definedName>
    <definedName name="Z_D8BB7E15_0E8F_45FC_AD1A_6D8C295A087C_.wvu.PrintTitles" localSheetId="2" hidden="1">'(3) Juridica'!$8:$9</definedName>
    <definedName name="Z_D8BB7E15_0E8F_45FC_AD1A_6D8C295A087C_.wvu.PrintTitles" localSheetId="4" hidden="1">'(5) Talento Humano'!$8:$9</definedName>
    <definedName name="Z_D8BB7E15_0E8F_45FC_AD1A_6D8C295A087C_.wvu.PrintTitles" localSheetId="5" hidden="1">'(6) Seguridad y Salud T'!$8:$9</definedName>
    <definedName name="Z_D8BB7E15_0E8F_45FC_AD1A_6D8C295A087C_.wvu.PrintTitles" localSheetId="6" hidden="1">'(7) Sistemas'!$8:$9</definedName>
    <definedName name="Z_D8BB7E15_0E8F_45FC_AD1A_6D8C295A087C_.wvu.PrintTitles" localSheetId="7" hidden="1">'(8) Gestión Documental'!$8:$9</definedName>
    <definedName name="Z_DC041AD4_35AB_4F1B_9F3D_F08C88A9A16C_.wvu.Cols" localSheetId="0" hidden="1">'(1) Planeación'!$D:$D,'(1) Planeación'!$F:$F,'(1) Planeación'!$K:$M,'(1) Planeación'!$Q:$Q,'(1) Planeación'!$S:$T,'(1) Planeación'!$V:$V</definedName>
    <definedName name="Z_DC041AD4_35AB_4F1B_9F3D_F08C88A9A16C_.wvu.Cols" localSheetId="9" hidden="1">'(10) Contabilidad'!$D:$D,'(10) Contabilidad'!$F:$F,'(10) Contabilidad'!$K:$M,'(10) Contabilidad'!$Q:$Q,'(10) Contabilidad'!$S:$T,'(10) Contabilidad'!$V:$X</definedName>
    <definedName name="Z_DC041AD4_35AB_4F1B_9F3D_F08C88A9A16C_.wvu.Cols" localSheetId="10" hidden="1">'(11) Presupuesto'!$D:$D,'(11) Presupuesto'!$F:$F,'(11) Presupuesto'!$K:$M,'(11) Presupuesto'!$Q:$Q,'(11) Presupuesto'!$S:$T,'(11) Presupuesto'!$V:$X</definedName>
    <definedName name="Z_DC041AD4_35AB_4F1B_9F3D_F08C88A9A16C_.wvu.Cols" localSheetId="1" hidden="1">'(2) Control Interno'!$D:$D,'(2) Control Interno'!$F:$F,'(2) Control Interno'!$K:$M,'(2) Control Interno'!$Q:$Q,'(2) Control Interno'!$S:$T,'(2) Control Interno'!$V:$X</definedName>
    <definedName name="Z_DC041AD4_35AB_4F1B_9F3D_F08C88A9A16C_.wvu.Cols" localSheetId="2" hidden="1">'(3) Juridica'!$D:$D,'(3) Juridica'!$F:$F,'(3) Juridica'!$K:$M,'(3) Juridica'!$Q:$Q,'(3) Juridica'!$S:$T,'(3) Juridica'!$V:$X</definedName>
    <definedName name="Z_DC041AD4_35AB_4F1B_9F3D_F08C88A9A16C_.wvu.Cols" localSheetId="3" hidden="1">'(4) Calidad'!$D:$D,'(4) Calidad'!$F:$F,'(4) Calidad'!$K:$M,'(4) Calidad'!$Q:$Q,'(4) Calidad'!$S:$T,'(4) Calidad'!$V:$X</definedName>
    <definedName name="Z_DC041AD4_35AB_4F1B_9F3D_F08C88A9A16C_.wvu.Cols" localSheetId="4" hidden="1">'(5) Talento Humano'!$D:$D,'(5) Talento Humano'!$F:$F,'(5) Talento Humano'!$K:$M,'(5) Talento Humano'!$Q:$Q,'(5) Talento Humano'!$S:$T,'(5) Talento Humano'!$V:$X</definedName>
    <definedName name="Z_DC041AD4_35AB_4F1B_9F3D_F08C88A9A16C_.wvu.Cols" localSheetId="5" hidden="1">'(6) Seguridad y Salud T'!$D:$D,'(6) Seguridad y Salud T'!$F:$F,'(6) Seguridad y Salud T'!$K:$M,'(6) Seguridad y Salud T'!$Q:$Q,'(6) Seguridad y Salud T'!$S:$T,'(6) Seguridad y Salud T'!$V:$X</definedName>
    <definedName name="Z_DC041AD4_35AB_4F1B_9F3D_F08C88A9A16C_.wvu.Cols" localSheetId="16" hidden="1">Resumen!$Q:$AE,Resumen!$AH:$AX</definedName>
    <definedName name="Z_DC041AD4_35AB_4F1B_9F3D_F08C88A9A16C_.wvu.PrintArea" localSheetId="9" hidden="1">'(10) Contabilidad'!$A$1:$V$12</definedName>
    <definedName name="Z_DC041AD4_35AB_4F1B_9F3D_F08C88A9A16C_.wvu.PrintArea" localSheetId="10" hidden="1">'(11) Presupuesto'!$A$1:$V$11</definedName>
    <definedName name="Z_DC041AD4_35AB_4F1B_9F3D_F08C88A9A16C_.wvu.PrintArea" localSheetId="11" hidden="1">'(12) Tesorería'!$A$1:$V$13</definedName>
    <definedName name="Z_DC041AD4_35AB_4F1B_9F3D_F08C88A9A16C_.wvu.PrintArea" localSheetId="12" hidden="1">'(13) Facturacion y glosas'!$A$1:$V$14</definedName>
    <definedName name="Z_DC041AD4_35AB_4F1B_9F3D_F08C88A9A16C_.wvu.PrintArea" localSheetId="13" hidden="1">'(14) Compras, bienes y suminis'!$A$1:$V$12</definedName>
    <definedName name="Z_DC041AD4_35AB_4F1B_9F3D_F08C88A9A16C_.wvu.PrintArea" localSheetId="14" hidden="1">'(15) Mantenimiento'!$A$1:$V$11</definedName>
    <definedName name="Z_DC041AD4_35AB_4F1B_9F3D_F08C88A9A16C_.wvu.PrintArea" localSheetId="1" hidden="1">'(2) Control Interno'!$A$2:$V$18</definedName>
    <definedName name="Z_DC041AD4_35AB_4F1B_9F3D_F08C88A9A16C_.wvu.PrintArea" localSheetId="2" hidden="1">'(3) Juridica'!$A$1:$V$14</definedName>
    <definedName name="Z_DC041AD4_35AB_4F1B_9F3D_F08C88A9A16C_.wvu.PrintArea" localSheetId="3" hidden="1">'(4) Calidad'!$A$1:$V$12</definedName>
    <definedName name="Z_DC041AD4_35AB_4F1B_9F3D_F08C88A9A16C_.wvu.PrintArea" localSheetId="4" hidden="1">'(5) Talento Humano'!$A$1:$V$13</definedName>
    <definedName name="Z_DC041AD4_35AB_4F1B_9F3D_F08C88A9A16C_.wvu.PrintArea" localSheetId="5" hidden="1">'(6) Seguridad y Salud T'!$A$1:$V$10</definedName>
    <definedName name="Z_DC041AD4_35AB_4F1B_9F3D_F08C88A9A16C_.wvu.PrintArea" localSheetId="6" hidden="1">'(7) Sistemas'!$A$1:$U$13</definedName>
    <definedName name="Z_DC041AD4_35AB_4F1B_9F3D_F08C88A9A16C_.wvu.PrintArea" localSheetId="7" hidden="1">'(8) Gestión Documental'!$A$1:$V$12</definedName>
    <definedName name="Z_DC041AD4_35AB_4F1B_9F3D_F08C88A9A16C_.wvu.PrintArea" localSheetId="8" hidden="1">'(9) Cartera'!$A$1:$V$12</definedName>
    <definedName name="Z_DC041AD4_35AB_4F1B_9F3D_F08C88A9A16C_.wvu.PrintArea" localSheetId="17" hidden="1">Evolución!$K$1:$Q$10</definedName>
    <definedName name="Z_DC041AD4_35AB_4F1B_9F3D_F08C88A9A16C_.wvu.PrintArea" localSheetId="19" hidden="1">Impactos!$A$1:$G$12</definedName>
    <definedName name="Z_DC041AD4_35AB_4F1B_9F3D_F08C88A9A16C_.wvu.PrintArea" localSheetId="16" hidden="1">Resumen!$A$1:$O$30</definedName>
    <definedName name="Z_DC041AD4_35AB_4F1B_9F3D_F08C88A9A16C_.wvu.PrintTitles" localSheetId="9" hidden="1">'(10) Contabilidad'!$8:$9</definedName>
    <definedName name="Z_DC041AD4_35AB_4F1B_9F3D_F08C88A9A16C_.wvu.PrintTitles" localSheetId="10" hidden="1">'(11) Presupuesto'!$8:$9</definedName>
    <definedName name="Z_DC041AD4_35AB_4F1B_9F3D_F08C88A9A16C_.wvu.PrintTitles" localSheetId="11" hidden="1">'(12) Tesorería'!$8:$9</definedName>
    <definedName name="Z_DC041AD4_35AB_4F1B_9F3D_F08C88A9A16C_.wvu.PrintTitles" localSheetId="1" hidden="1">'(2) Control Interno'!$8:$9</definedName>
    <definedName name="Z_DC041AD4_35AB_4F1B_9F3D_F08C88A9A16C_.wvu.PrintTitles" localSheetId="2" hidden="1">'(3) Juridica'!$8:$9</definedName>
    <definedName name="Z_DC041AD4_35AB_4F1B_9F3D_F08C88A9A16C_.wvu.PrintTitles" localSheetId="4" hidden="1">'(5) Talento Humano'!$8:$9</definedName>
    <definedName name="Z_DC041AD4_35AB_4F1B_9F3D_F08C88A9A16C_.wvu.PrintTitles" localSheetId="5" hidden="1">'(6) Seguridad y Salud T'!$8:$9</definedName>
    <definedName name="Z_DC041AD4_35AB_4F1B_9F3D_F08C88A9A16C_.wvu.PrintTitles" localSheetId="6" hidden="1">'(7) Sistemas'!$8:$9</definedName>
    <definedName name="Z_DC041AD4_35AB_4F1B_9F3D_F08C88A9A16C_.wvu.PrintTitles" localSheetId="7" hidden="1">'(8) Gestión Documental'!$8:$9</definedName>
    <definedName name="Z_E51A7B7A_B72C_4D0D_BEC9_3100296DDB1B_.wvu.Cols" localSheetId="0" hidden="1">'(1) Planeación'!$D:$D,'(1) Planeación'!$F:$F,'(1) Planeación'!$K:$M,'(1) Planeación'!$Q:$Q,'(1) Planeación'!$S:$T,'(1) Planeación'!$V:$V</definedName>
    <definedName name="Z_E51A7B7A_B72C_4D0D_BEC9_3100296DDB1B_.wvu.Cols" localSheetId="9" hidden="1">'(10) Contabilidad'!$D:$D,'(10) Contabilidad'!$F:$F,'(10) Contabilidad'!$K:$M,'(10) Contabilidad'!$Q:$Q,'(10) Contabilidad'!$S:$T,'(10) Contabilidad'!$V:$X</definedName>
    <definedName name="Z_E51A7B7A_B72C_4D0D_BEC9_3100296DDB1B_.wvu.Cols" localSheetId="10" hidden="1">'(11) Presupuesto'!$D:$D,'(11) Presupuesto'!$F:$F,'(11) Presupuesto'!$K:$M,'(11) Presupuesto'!$Q:$Q,'(11) Presupuesto'!$S:$T,'(11) Presupuesto'!$V:$X</definedName>
    <definedName name="Z_E51A7B7A_B72C_4D0D_BEC9_3100296DDB1B_.wvu.Cols" localSheetId="1" hidden="1">'(2) Control Interno'!$D:$D,'(2) Control Interno'!$F:$F,'(2) Control Interno'!$K:$M,'(2) Control Interno'!$Q:$Q,'(2) Control Interno'!$S:$T,'(2) Control Interno'!$V:$X</definedName>
    <definedName name="Z_E51A7B7A_B72C_4D0D_BEC9_3100296DDB1B_.wvu.Cols" localSheetId="2" hidden="1">'(3) Juridica'!$D:$D,'(3) Juridica'!$F:$F,'(3) Juridica'!$K:$M,'(3) Juridica'!$Q:$Q,'(3) Juridica'!$S:$T,'(3) Juridica'!$V:$X</definedName>
    <definedName name="Z_E51A7B7A_B72C_4D0D_BEC9_3100296DDB1B_.wvu.Cols" localSheetId="3" hidden="1">'(4) Calidad'!$D:$D,'(4) Calidad'!$F:$F,'(4) Calidad'!$K:$M,'(4) Calidad'!$Q:$Q,'(4) Calidad'!$S:$T,'(4) Calidad'!$V:$X</definedName>
    <definedName name="Z_E51A7B7A_B72C_4D0D_BEC9_3100296DDB1B_.wvu.Cols" localSheetId="4" hidden="1">'(5) Talento Humano'!$D:$D,'(5) Talento Humano'!$F:$F,'(5) Talento Humano'!$K:$M,'(5) Talento Humano'!$Q:$Q,'(5) Talento Humano'!$S:$T,'(5) Talento Humano'!$V:$X</definedName>
    <definedName name="Z_E51A7B7A_B72C_4D0D_BEC9_3100296DDB1B_.wvu.Cols" localSheetId="5" hidden="1">'(6) Seguridad y Salud T'!$D:$D,'(6) Seguridad y Salud T'!$F:$F,'(6) Seguridad y Salud T'!$K:$M,'(6) Seguridad y Salud T'!$Q:$Q,'(6) Seguridad y Salud T'!$S:$T,'(6) Seguridad y Salud T'!$V:$X</definedName>
    <definedName name="Z_E51A7B7A_B72C_4D0D_BEC9_3100296DDB1B_.wvu.Cols" localSheetId="16" hidden="1">Resumen!$Q:$AE,Resumen!$AH:$AX</definedName>
    <definedName name="Z_E51A7B7A_B72C_4D0D_BEC9_3100296DDB1B_.wvu.PrintArea" localSheetId="9" hidden="1">'(10) Contabilidad'!$A$1:$V$12</definedName>
    <definedName name="Z_E51A7B7A_B72C_4D0D_BEC9_3100296DDB1B_.wvu.PrintArea" localSheetId="10" hidden="1">'(11) Presupuesto'!$A$1:$V$11</definedName>
    <definedName name="Z_E51A7B7A_B72C_4D0D_BEC9_3100296DDB1B_.wvu.PrintArea" localSheetId="11" hidden="1">'(12) Tesorería'!$A$1:$V$13</definedName>
    <definedName name="Z_E51A7B7A_B72C_4D0D_BEC9_3100296DDB1B_.wvu.PrintArea" localSheetId="12" hidden="1">'(13) Facturacion y glosas'!$A$1:$V$14</definedName>
    <definedName name="Z_E51A7B7A_B72C_4D0D_BEC9_3100296DDB1B_.wvu.PrintArea" localSheetId="13" hidden="1">'(14) Compras, bienes y suminis'!$A$1:$V$12</definedName>
    <definedName name="Z_E51A7B7A_B72C_4D0D_BEC9_3100296DDB1B_.wvu.PrintArea" localSheetId="14" hidden="1">'(15) Mantenimiento'!$A$1:$V$11</definedName>
    <definedName name="Z_E51A7B7A_B72C_4D0D_BEC9_3100296DDB1B_.wvu.PrintArea" localSheetId="1" hidden="1">'(2) Control Interno'!$A$2:$V$18</definedName>
    <definedName name="Z_E51A7B7A_B72C_4D0D_BEC9_3100296DDB1B_.wvu.PrintArea" localSheetId="2" hidden="1">'(3) Juridica'!$A$1:$V$14</definedName>
    <definedName name="Z_E51A7B7A_B72C_4D0D_BEC9_3100296DDB1B_.wvu.PrintArea" localSheetId="3" hidden="1">'(4) Calidad'!$A$1:$V$12</definedName>
    <definedName name="Z_E51A7B7A_B72C_4D0D_BEC9_3100296DDB1B_.wvu.PrintArea" localSheetId="4" hidden="1">'(5) Talento Humano'!$A$1:$V$13</definedName>
    <definedName name="Z_E51A7B7A_B72C_4D0D_BEC9_3100296DDB1B_.wvu.PrintArea" localSheetId="5" hidden="1">'(6) Seguridad y Salud T'!$A$1:$V$10</definedName>
    <definedName name="Z_E51A7B7A_B72C_4D0D_BEC9_3100296DDB1B_.wvu.PrintArea" localSheetId="6" hidden="1">'(7) Sistemas'!$A$1:$U$13</definedName>
    <definedName name="Z_E51A7B7A_B72C_4D0D_BEC9_3100296DDB1B_.wvu.PrintArea" localSheetId="7" hidden="1">'(8) Gestión Documental'!$A$1:$V$12</definedName>
    <definedName name="Z_E51A7B7A_B72C_4D0D_BEC9_3100296DDB1B_.wvu.PrintArea" localSheetId="8" hidden="1">'(9) Cartera'!$A$1:$V$12</definedName>
    <definedName name="Z_E51A7B7A_B72C_4D0D_BEC9_3100296DDB1B_.wvu.PrintArea" localSheetId="17" hidden="1">Evolución!$K$1:$Q$10</definedName>
    <definedName name="Z_E51A7B7A_B72C_4D0D_BEC9_3100296DDB1B_.wvu.PrintArea" localSheetId="19" hidden="1">Impactos!$A$1:$G$12</definedName>
    <definedName name="Z_E51A7B7A_B72C_4D0D_BEC9_3100296DDB1B_.wvu.PrintArea" localSheetId="16" hidden="1">Resumen!$A$1:$O$30</definedName>
    <definedName name="Z_E51A7B7A_B72C_4D0D_BEC9_3100296DDB1B_.wvu.PrintTitles" localSheetId="9" hidden="1">'(10) Contabilidad'!$8:$9</definedName>
    <definedName name="Z_E51A7B7A_B72C_4D0D_BEC9_3100296DDB1B_.wvu.PrintTitles" localSheetId="10" hidden="1">'(11) Presupuesto'!$8:$9</definedName>
    <definedName name="Z_E51A7B7A_B72C_4D0D_BEC9_3100296DDB1B_.wvu.PrintTitles" localSheetId="11" hidden="1">'(12) Tesorería'!$8:$9</definedName>
    <definedName name="Z_E51A7B7A_B72C_4D0D_BEC9_3100296DDB1B_.wvu.PrintTitles" localSheetId="1" hidden="1">'(2) Control Interno'!$8:$9</definedName>
    <definedName name="Z_E51A7B7A_B72C_4D0D_BEC9_3100296DDB1B_.wvu.PrintTitles" localSheetId="2" hidden="1">'(3) Juridica'!$8:$9</definedName>
    <definedName name="Z_E51A7B7A_B72C_4D0D_BEC9_3100296DDB1B_.wvu.PrintTitles" localSheetId="4" hidden="1">'(5) Talento Humano'!$8:$9</definedName>
    <definedName name="Z_E51A7B7A_B72C_4D0D_BEC9_3100296DDB1B_.wvu.PrintTitles" localSheetId="5" hidden="1">'(6) Seguridad y Salud T'!$8:$9</definedName>
    <definedName name="Z_E51A7B7A_B72C_4D0D_BEC9_3100296DDB1B_.wvu.PrintTitles" localSheetId="6" hidden="1">'(7) Sistemas'!$8:$9</definedName>
    <definedName name="Z_E51A7B7A_B72C_4D0D_BEC9_3100296DDB1B_.wvu.PrintTitles" localSheetId="7" hidden="1">'(8) Gestión Documental'!$8:$9</definedName>
    <definedName name="Z_F7D68F61_F89A_4541_9A78_C25C58CA23E3_.wvu.Cols" localSheetId="0" hidden="1">'(1) Planeación'!$D:$D,'(1) Planeación'!$F:$F,'(1) Planeación'!$K:$M,'(1) Planeación'!$Q:$Q,'(1) Planeación'!$S:$T,'(1) Planeación'!$V:$V</definedName>
    <definedName name="Z_F7D68F61_F89A_4541_9A78_C25C58CA23E3_.wvu.Cols" localSheetId="16" hidden="1">Resumen!$Q:$AE,Resumen!$AH:$AX</definedName>
    <definedName name="Z_F7D68F61_F89A_4541_9A78_C25C58CA23E3_.wvu.PrintArea" localSheetId="9" hidden="1">'(10) Contabilidad'!$A$1:$V$12</definedName>
    <definedName name="Z_F7D68F61_F89A_4541_9A78_C25C58CA23E3_.wvu.PrintArea" localSheetId="10" hidden="1">'(11) Presupuesto'!$A$1:$V$11</definedName>
    <definedName name="Z_F7D68F61_F89A_4541_9A78_C25C58CA23E3_.wvu.PrintArea" localSheetId="11" hidden="1">'(12) Tesorería'!$A$1:$V$13</definedName>
    <definedName name="Z_F7D68F61_F89A_4541_9A78_C25C58CA23E3_.wvu.PrintArea" localSheetId="12" hidden="1">'(13) Facturacion y glosas'!$A$1:$V$14</definedName>
    <definedName name="Z_F7D68F61_F89A_4541_9A78_C25C58CA23E3_.wvu.PrintArea" localSheetId="13" hidden="1">'(14) Compras, bienes y suminis'!$A$1:$V$12</definedName>
    <definedName name="Z_F7D68F61_F89A_4541_9A78_C25C58CA23E3_.wvu.PrintArea" localSheetId="14" hidden="1">'(15) Mantenimiento'!$A$1:$V$11</definedName>
    <definedName name="Z_F7D68F61_F89A_4541_9A78_C25C58CA23E3_.wvu.PrintArea" localSheetId="1" hidden="1">'(2) Control Interno'!$A$2:$V$13</definedName>
    <definedName name="Z_F7D68F61_F89A_4541_9A78_C25C58CA23E3_.wvu.PrintArea" localSheetId="2" hidden="1">'(3) Juridica'!$A$1:$V$14</definedName>
    <definedName name="Z_F7D68F61_F89A_4541_9A78_C25C58CA23E3_.wvu.PrintArea" localSheetId="3" hidden="1">'(4) Calidad'!$A$1:$V$12</definedName>
    <definedName name="Z_F7D68F61_F89A_4541_9A78_C25C58CA23E3_.wvu.PrintArea" localSheetId="4" hidden="1">'(5) Talento Humano'!$A$1:$V$13</definedName>
    <definedName name="Z_F7D68F61_F89A_4541_9A78_C25C58CA23E3_.wvu.PrintArea" localSheetId="5" hidden="1">'(6) Seguridad y Salud T'!$A$1:$V$10</definedName>
    <definedName name="Z_F7D68F61_F89A_4541_9A78_C25C58CA23E3_.wvu.PrintArea" localSheetId="6" hidden="1">'(7) Sistemas'!$A$1:$U$13</definedName>
    <definedName name="Z_F7D68F61_F89A_4541_9A78_C25C58CA23E3_.wvu.PrintArea" localSheetId="7" hidden="1">'(8) Gestión Documental'!$A$1:$V$12</definedName>
    <definedName name="Z_F7D68F61_F89A_4541_9A78_C25C58CA23E3_.wvu.PrintArea" localSheetId="8" hidden="1">'(9) Cartera'!$A$1:$V$12</definedName>
    <definedName name="Z_F7D68F61_F89A_4541_9A78_C25C58CA23E3_.wvu.PrintArea" localSheetId="17" hidden="1">Evolución!$K$1:$Q$10</definedName>
    <definedName name="Z_F7D68F61_F89A_4541_9A78_C25C58CA23E3_.wvu.PrintArea" localSheetId="19" hidden="1">Impactos!$A$1:$G$12</definedName>
    <definedName name="Z_F7D68F61_F89A_4541_9A78_C25C58CA23E3_.wvu.PrintArea" localSheetId="16" hidden="1">Resumen!$A$1:$O$30</definedName>
    <definedName name="Z_F7D68F61_F89A_4541_9A78_C25C58CA23E3_.wvu.PrintTitles" localSheetId="9" hidden="1">'(10) Contabilidad'!$8:$9</definedName>
    <definedName name="Z_F7D68F61_F89A_4541_9A78_C25C58CA23E3_.wvu.PrintTitles" localSheetId="10" hidden="1">'(11) Presupuesto'!$8:$9</definedName>
    <definedName name="Z_F7D68F61_F89A_4541_9A78_C25C58CA23E3_.wvu.PrintTitles" localSheetId="11" hidden="1">'(12) Tesorería'!$8:$9</definedName>
    <definedName name="Z_F7D68F61_F89A_4541_9A78_C25C58CA23E3_.wvu.PrintTitles" localSheetId="1" hidden="1">'(2) Control Interno'!$8:$9</definedName>
    <definedName name="Z_F7D68F61_F89A_4541_9A78_C25C58CA23E3_.wvu.PrintTitles" localSheetId="2" hidden="1">'(3) Juridica'!$8:$9</definedName>
    <definedName name="Z_F7D68F61_F89A_4541_9A78_C25C58CA23E3_.wvu.PrintTitles" localSheetId="4" hidden="1">'(5) Talento Humano'!$8:$9</definedName>
    <definedName name="Z_F7D68F61_F89A_4541_9A78_C25C58CA23E3_.wvu.PrintTitles" localSheetId="5" hidden="1">'(6) Seguridad y Salud T'!$8:$9</definedName>
    <definedName name="Z_F7D68F61_F89A_4541_9A78_C25C58CA23E3_.wvu.PrintTitles" localSheetId="6" hidden="1">'(7) Sistemas'!$8:$9</definedName>
    <definedName name="Z_F7D68F61_F89A_4541_9A78_C25C58CA23E3_.wvu.PrintTitles" localSheetId="7" hidden="1">'(8) Gestión Documental'!$8:$9</definedName>
  </definedNames>
  <calcPr calcId="191029"/>
  <customWorkbookViews>
    <customWorkbookView name="mapa_17" guid="{B83C9EB8-C964-4489-98C8-19C81BFAE010}" maximized="1" xWindow="-8" yWindow="-8" windowWidth="1382" windowHeight="744" tabRatio="961" activeSheetId="6"/>
    <customWorkbookView name="mapa_16" guid="{42BB51DB-DC3E-4DA5-9499-5574EB19780E}" maximized="1" xWindow="-8" yWindow="-8" windowWidth="1382" windowHeight="744" tabRatio="961" activeSheetId="10"/>
    <customWorkbookView name="mapa_15" guid="{D8BB7E15-0E8F-45FC-AD1A-6D8C295A087C}" maximized="1" xWindow="-8" yWindow="-8" windowWidth="1382" windowHeight="744" tabRatio="961" activeSheetId="14"/>
    <customWorkbookView name="Mapa_02" guid="{F7D68F61-F89A-4541-9A78-C25C58CA23E3}" maximized="1" xWindow="-8" yWindow="-8" windowWidth="1382" windowHeight="744" tabRatio="961" activeSheetId="18"/>
    <customWorkbookView name="Mapa_01" guid="{4890415D-ABA4-4363-9A7D-9DAD39F08A9F}" maximized="1" xWindow="-8" yWindow="-8" windowWidth="1382" windowHeight="744" tabRatio="961" activeSheetId="19"/>
    <customWorkbookView name="mapa_03" guid="{D504B807-AE7E-4042-848D-21D8E9CBBAC1}" maximized="1" xWindow="-8" yWindow="-8" windowWidth="1382" windowHeight="744" tabRatio="961" activeSheetId="17"/>
    <customWorkbookView name="mapa_04" guid="{C9A812A3-B23E-4057-8694-158B0DEE8D06}" maximized="1" xWindow="-8" yWindow="-8" windowWidth="1382" windowHeight="744" tabRatio="961" activeSheetId="9"/>
    <customWorkbookView name="mapa_05" guid="{B74BB35E-E214-422E-BB39-6D168553F4C5}" maximized="1" xWindow="-8" yWindow="-8" windowWidth="1382" windowHeight="744" tabRatio="961" activeSheetId="15"/>
    <customWorkbookView name="mapa_06" guid="{915A0EBC-A358-405B-93F7-90752DA34B9F}" maximized="1" xWindow="-8" yWindow="-8" windowWidth="1382" windowHeight="744" tabRatio="961" activeSheetId="11"/>
    <customWorkbookView name="mapa_07" guid="{31578BE1-199E-4DDD-BD28-180CDA7042A3}" maximized="1" xWindow="-8" yWindow="-8" windowWidth="1382" windowHeight="744" tabRatio="961" activeSheetId="20"/>
    <customWorkbookView name="mapa_08" guid="{C8C25E0F-313C-40E1-BC27-B55128053FAD}" maximized="1" xWindow="-8" yWindow="-8" windowWidth="1382" windowHeight="744" tabRatio="961" activeSheetId="3"/>
    <customWorkbookView name="mapa_09" guid="{D674221F-3F50-45D7-B99E-107AE99970DE}" maximized="1" xWindow="-8" yWindow="-8" windowWidth="1382" windowHeight="744" tabRatio="961" activeSheetId="1"/>
    <customWorkbookView name="mapa_10" guid="{E51A7B7A-B72C-4D0D-BEC9-3100296DDB1B}" maximized="1" xWindow="-8" yWindow="-8" windowWidth="1382" windowHeight="744" tabRatio="961" activeSheetId="16"/>
    <customWorkbookView name="mapa_11" guid="{C9A17BF0-2451-44C4-898F-CFB8403323EA}" maximized="1" xWindow="-8" yWindow="-8" windowWidth="1382" windowHeight="744" tabRatio="961" activeSheetId="2"/>
    <customWorkbookView name="mapa_12" guid="{DC041AD4-35AB-4F1B-9F3D-F08C88A9A16C}" maximized="1" xWindow="-8" yWindow="-8" windowWidth="1382" windowHeight="744" tabRatio="961" activeSheetId="12"/>
    <customWorkbookView name="mapa_13" guid="{CC42E740-ADA2-4B3E-AB77-9BBCCE9EC444}" maximized="1" xWindow="-8" yWindow="-8" windowWidth="1382" windowHeight="744" tabRatio="961" activeSheetId="5"/>
    <customWorkbookView name="mapa_14" guid="{AF3BF2A1-5C19-43AE-A08B-3E418E8AE543}" maximized="1" xWindow="-8" yWindow="-8" windowWidth="1382" windowHeight="744" tabRatio="961" activeSheetId="13"/>
    <customWorkbookView name="mapa_19" guid="{ADD38025-F4B2-44E2-9D06-07A9BF0F3A51}" maximized="1" xWindow="-8" yWindow="-8" windowWidth="1382" windowHeight="744" tabRatio="961" activeSheetId="28"/>
    <customWorkbookView name="mapa_20" guid="{97D65C1E-976A-4956-97FC-0E8188ABCFAA}" maximized="1" xWindow="-8" yWindow="-8" windowWidth="1382" windowHeight="744" tabRatio="961"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 i="36" l="1"/>
  <c r="Z11" i="36"/>
  <c r="Z10" i="36"/>
  <c r="Z14" i="36"/>
  <c r="Z11" i="3"/>
  <c r="Z11" i="9"/>
  <c r="Z10" i="15"/>
  <c r="Z14" i="9"/>
  <c r="Z10" i="9"/>
  <c r="X12" i="19"/>
  <c r="W12" i="19"/>
  <c r="Z13" i="9"/>
  <c r="Z12" i="28"/>
  <c r="Z11" i="5"/>
  <c r="Z10" i="5"/>
  <c r="Z13" i="17"/>
  <c r="Y13" i="17"/>
  <c r="Z12" i="17"/>
  <c r="Z14" i="17" s="1"/>
  <c r="Y12" i="17"/>
  <c r="Y14" i="17" s="1"/>
  <c r="Z11" i="28" l="1"/>
  <c r="Z10" i="28"/>
  <c r="Y10" i="28"/>
  <c r="Z10" i="20"/>
  <c r="Z13" i="6"/>
  <c r="Z12" i="6"/>
  <c r="Z11" i="6"/>
  <c r="Z10" i="6"/>
  <c r="Z11" i="11"/>
  <c r="Z13" i="11"/>
  <c r="Z12" i="11"/>
  <c r="Y13" i="13" l="1"/>
  <c r="Y11" i="13"/>
  <c r="Y10" i="13"/>
  <c r="X11" i="19"/>
  <c r="X10" i="19"/>
  <c r="Z12" i="1"/>
  <c r="Z10" i="1"/>
  <c r="Z13" i="1" s="1"/>
  <c r="Y10" i="36"/>
  <c r="Y12" i="6" l="1"/>
  <c r="Y13" i="11"/>
  <c r="Y12" i="11"/>
  <c r="Y13" i="9"/>
  <c r="Y12" i="28" l="1"/>
  <c r="Y11" i="28"/>
  <c r="Y14" i="36"/>
  <c r="Y12" i="36"/>
  <c r="Y11" i="36"/>
  <c r="Y11" i="6" l="1"/>
  <c r="Y10" i="6"/>
  <c r="Y10" i="1" l="1"/>
  <c r="Y12" i="1"/>
  <c r="M12" i="14"/>
  <c r="N12" i="14" s="1"/>
  <c r="L12" i="14"/>
  <c r="M11" i="14"/>
  <c r="O11" i="14" s="1"/>
  <c r="L11" i="14"/>
  <c r="M10" i="14"/>
  <c r="N10" i="14" s="1"/>
  <c r="L10" i="14"/>
  <c r="X10" i="13"/>
  <c r="L13" i="11"/>
  <c r="L12" i="11"/>
  <c r="L11" i="11"/>
  <c r="L10" i="11"/>
  <c r="M10" i="20"/>
  <c r="O10" i="20" s="1"/>
  <c r="L10" i="20"/>
  <c r="O10" i="14" l="1"/>
  <c r="P10" i="14" s="1"/>
  <c r="N11" i="14"/>
  <c r="P11" i="14" s="1"/>
  <c r="O12" i="14"/>
  <c r="P12" i="14" s="1"/>
  <c r="N10" i="20"/>
  <c r="P10" i="20" s="1"/>
  <c r="Y14" i="9" l="1"/>
  <c r="Y11" i="9"/>
  <c r="Y10" i="9"/>
  <c r="X52" i="38" l="1"/>
  <c r="X51" i="38"/>
  <c r="X50" i="38"/>
  <c r="X49" i="38"/>
  <c r="X48" i="38"/>
  <c r="X47" i="38"/>
  <c r="X46" i="38"/>
  <c r="X45" i="38"/>
  <c r="X44" i="38"/>
  <c r="X43" i="38"/>
  <c r="X42" i="38"/>
  <c r="X41" i="38"/>
  <c r="X40" i="38"/>
  <c r="X39" i="38"/>
  <c r="X38" i="38"/>
  <c r="X37" i="38"/>
  <c r="X36" i="38"/>
  <c r="X35" i="38"/>
  <c r="X34" i="38"/>
  <c r="X33" i="38"/>
  <c r="X32" i="38"/>
  <c r="X31" i="38"/>
  <c r="X30" i="38"/>
  <c r="X29" i="38"/>
  <c r="X28" i="38"/>
  <c r="X27" i="38"/>
  <c r="X26" i="38"/>
  <c r="X25" i="38"/>
  <c r="X24" i="38"/>
  <c r="X23" i="38"/>
  <c r="X22" i="38"/>
  <c r="X21" i="38"/>
  <c r="X20" i="38"/>
  <c r="X19" i="38"/>
  <c r="X18" i="38"/>
  <c r="X17" i="38"/>
  <c r="X16" i="38"/>
  <c r="X15" i="38"/>
  <c r="X14" i="38"/>
  <c r="X13" i="38"/>
  <c r="X12" i="38"/>
  <c r="X11" i="38"/>
  <c r="X10" i="38"/>
  <c r="X9" i="38"/>
  <c r="X8" i="38"/>
  <c r="X7" i="38"/>
  <c r="X6" i="38"/>
  <c r="X5" i="38"/>
  <c r="X4" i="38"/>
  <c r="Y10" i="37" l="1"/>
  <c r="Y11" i="3" l="1"/>
  <c r="Y10" i="3"/>
  <c r="M11" i="37" l="1"/>
  <c r="N11" i="37" s="1"/>
  <c r="L11" i="37"/>
  <c r="I11" i="37"/>
  <c r="N10" i="37"/>
  <c r="L10" i="37"/>
  <c r="I10" i="37"/>
  <c r="O10" i="37" l="1"/>
  <c r="P10" i="37" s="1"/>
  <c r="O11" i="37"/>
  <c r="P11" i="37" s="1"/>
  <c r="X13" i="13" l="1"/>
  <c r="X11" i="13"/>
  <c r="Y10" i="20" l="1"/>
  <c r="W11" i="19" l="1"/>
  <c r="W10" i="19"/>
  <c r="W13" i="19" l="1"/>
  <c r="I14" i="36" l="1"/>
  <c r="I13" i="36"/>
  <c r="I12" i="36"/>
  <c r="I11" i="36"/>
  <c r="I10" i="36"/>
  <c r="P13" i="5" s="1"/>
  <c r="I13" i="5"/>
  <c r="P12" i="5" s="1"/>
  <c r="I12" i="5"/>
  <c r="Y11" i="5"/>
  <c r="P11" i="5" s="1"/>
  <c r="I11" i="5"/>
  <c r="Y10" i="5"/>
  <c r="I10" i="5"/>
  <c r="P11" i="3"/>
  <c r="I11" i="3"/>
  <c r="I10" i="3"/>
  <c r="Y13" i="1"/>
  <c r="P12" i="1"/>
  <c r="I12" i="1"/>
  <c r="P11" i="1"/>
  <c r="I11" i="1"/>
  <c r="P10" i="1"/>
  <c r="I10" i="1"/>
  <c r="P12" i="28"/>
  <c r="I12" i="28"/>
  <c r="P11" i="28"/>
  <c r="I11" i="28"/>
  <c r="Y13" i="28"/>
  <c r="I10" i="28"/>
  <c r="P12" i="36" s="1"/>
  <c r="P11" i="36" s="1"/>
  <c r="P13" i="36" s="1"/>
  <c r="P14" i="36" s="1"/>
  <c r="P10" i="28"/>
  <c r="P10" i="36" l="1"/>
  <c r="P10" i="3"/>
  <c r="Y12" i="3"/>
  <c r="P10" i="5"/>
  <c r="O12" i="15"/>
  <c r="N12" i="15"/>
  <c r="L12" i="15"/>
  <c r="I12" i="15"/>
  <c r="O11" i="15"/>
  <c r="N11" i="15"/>
  <c r="L11" i="15"/>
  <c r="I11" i="15"/>
  <c r="O10" i="15"/>
  <c r="N10" i="15"/>
  <c r="L10" i="15"/>
  <c r="I10" i="15"/>
  <c r="P12" i="15" l="1"/>
  <c r="P10" i="15"/>
  <c r="P11" i="15"/>
  <c r="O14" i="9" l="1"/>
  <c r="N14" i="9"/>
  <c r="L14" i="9"/>
  <c r="I14" i="9"/>
  <c r="O13" i="9"/>
  <c r="N13" i="9"/>
  <c r="L13" i="9"/>
  <c r="I13" i="9"/>
  <c r="O12" i="9"/>
  <c r="M12" i="9"/>
  <c r="N12" i="9" s="1"/>
  <c r="L12" i="9"/>
  <c r="I12" i="9"/>
  <c r="O11" i="9"/>
  <c r="L11" i="9"/>
  <c r="I11" i="9"/>
  <c r="O10" i="9"/>
  <c r="N10" i="9"/>
  <c r="L10" i="9"/>
  <c r="I10" i="9"/>
  <c r="P12" i="9" l="1"/>
  <c r="P10" i="9"/>
  <c r="P13" i="9"/>
  <c r="P14" i="9"/>
  <c r="N11" i="9"/>
  <c r="P11" i="9" s="1"/>
  <c r="O13" i="17" l="1"/>
  <c r="M13" i="17"/>
  <c r="N13" i="17" s="1"/>
  <c r="L13" i="17"/>
  <c r="I13" i="17"/>
  <c r="P12" i="17"/>
  <c r="M12" i="17"/>
  <c r="L12" i="17"/>
  <c r="I12" i="17"/>
  <c r="M11" i="17"/>
  <c r="N11" i="17" s="1"/>
  <c r="L11" i="17"/>
  <c r="I11" i="17"/>
  <c r="M10" i="17"/>
  <c r="N10" i="17" s="1"/>
  <c r="P10" i="17" s="1"/>
  <c r="L10" i="17"/>
  <c r="I10" i="17"/>
  <c r="P13" i="17" l="1"/>
  <c r="O11" i="17"/>
  <c r="P11" i="17" s="1"/>
  <c r="O12" i="6" l="1"/>
  <c r="L12" i="6"/>
  <c r="I12" i="6"/>
  <c r="M11" i="6"/>
  <c r="N11" i="6" s="1"/>
  <c r="L11" i="6"/>
  <c r="I11" i="6"/>
  <c r="Y13" i="6"/>
  <c r="O10" i="6"/>
  <c r="L10" i="6"/>
  <c r="I10" i="6"/>
  <c r="N12" i="6" l="1"/>
  <c r="P12" i="6" s="1"/>
  <c r="N10" i="6"/>
  <c r="P10" i="6" s="1"/>
  <c r="O11" i="6"/>
  <c r="P11" i="6" s="1"/>
  <c r="N13" i="13" l="1"/>
  <c r="O13" i="13" s="1"/>
  <c r="K13" i="13"/>
  <c r="H13" i="13"/>
  <c r="M12" i="13"/>
  <c r="K12" i="13"/>
  <c r="H12" i="13"/>
  <c r="L11" i="13"/>
  <c r="N11" i="13" s="1"/>
  <c r="K11" i="13"/>
  <c r="H11" i="13"/>
  <c r="N10" i="13"/>
  <c r="O10" i="13" s="1"/>
  <c r="L10" i="13"/>
  <c r="K10" i="13"/>
  <c r="H10" i="13"/>
  <c r="H17" i="13" l="1"/>
  <c r="M11" i="13"/>
  <c r="O11" i="13" s="1"/>
  <c r="H16" i="13"/>
  <c r="N12" i="13"/>
  <c r="O12" i="13" s="1"/>
  <c r="H14" i="13"/>
  <c r="H15" i="13"/>
  <c r="I17" i="6"/>
  <c r="O16" i="13" l="1"/>
  <c r="O14" i="13"/>
  <c r="O17" i="13"/>
  <c r="O15" i="13"/>
  <c r="I14" i="6"/>
  <c r="I15" i="6"/>
  <c r="I16" i="6"/>
  <c r="P17" i="6" l="1"/>
  <c r="P16" i="6"/>
  <c r="P15" i="6"/>
  <c r="P14" i="6"/>
  <c r="I16" i="36" l="1"/>
  <c r="I16" i="37"/>
  <c r="P19" i="36"/>
  <c r="I19" i="36"/>
  <c r="P18" i="36"/>
  <c r="I18" i="36"/>
  <c r="P17" i="36"/>
  <c r="I17" i="36"/>
  <c r="P16" i="36"/>
  <c r="I11" i="19"/>
  <c r="I10" i="19"/>
  <c r="I11" i="14"/>
  <c r="D2" i="26"/>
  <c r="Z19" i="21"/>
  <c r="AA19" i="21"/>
  <c r="AB19" i="21"/>
  <c r="Y19" i="21"/>
  <c r="AC7" i="21"/>
  <c r="AC8" i="21"/>
  <c r="AC9" i="21"/>
  <c r="AC10" i="21"/>
  <c r="AC11" i="21"/>
  <c r="AC12" i="21"/>
  <c r="AC13" i="21"/>
  <c r="AC14" i="21"/>
  <c r="AC15" i="21"/>
  <c r="AC16" i="21"/>
  <c r="AC17" i="21"/>
  <c r="AC6" i="21"/>
  <c r="AC5" i="21"/>
  <c r="T19" i="21"/>
  <c r="U19" i="21"/>
  <c r="V19" i="21"/>
  <c r="S19" i="21"/>
  <c r="W6" i="21"/>
  <c r="W7" i="21"/>
  <c r="W8" i="21"/>
  <c r="W9" i="21"/>
  <c r="W10" i="21"/>
  <c r="W11" i="21"/>
  <c r="W12" i="21"/>
  <c r="W13" i="21"/>
  <c r="W14" i="21"/>
  <c r="W15" i="21"/>
  <c r="W16" i="21"/>
  <c r="W17" i="21"/>
  <c r="W5" i="21"/>
  <c r="AY10" i="21"/>
  <c r="AY9" i="21"/>
  <c r="AY8" i="21"/>
  <c r="AY7" i="21"/>
  <c r="AY6" i="21"/>
  <c r="AY5" i="21"/>
  <c r="P18" i="17"/>
  <c r="L6" i="21" s="1"/>
  <c r="I16" i="28"/>
  <c r="E17" i="21" s="1"/>
  <c r="I12" i="19"/>
  <c r="I16" i="19" s="1"/>
  <c r="E5" i="21" s="1"/>
  <c r="I14" i="28"/>
  <c r="C17" i="21" s="1"/>
  <c r="I17" i="28"/>
  <c r="F17" i="21" s="1"/>
  <c r="I15" i="28"/>
  <c r="D17" i="21" s="1"/>
  <c r="E2" i="26"/>
  <c r="F2" i="26"/>
  <c r="G2" i="26"/>
  <c r="H2" i="26"/>
  <c r="D3" i="26"/>
  <c r="E3" i="26"/>
  <c r="F3" i="26"/>
  <c r="G3" i="26"/>
  <c r="H3" i="26"/>
  <c r="D4" i="26"/>
  <c r="E4" i="26"/>
  <c r="F4" i="26"/>
  <c r="G4" i="26"/>
  <c r="H4" i="26"/>
  <c r="D5" i="26"/>
  <c r="E5" i="26"/>
  <c r="F5" i="26"/>
  <c r="G5" i="26"/>
  <c r="H5" i="26"/>
  <c r="D6" i="26"/>
  <c r="E6" i="26"/>
  <c r="F6" i="26"/>
  <c r="G6" i="26"/>
  <c r="H6" i="26"/>
  <c r="I10" i="20"/>
  <c r="I15" i="15"/>
  <c r="D8" i="21" s="1"/>
  <c r="I12" i="14"/>
  <c r="I10" i="14"/>
  <c r="I13" i="11"/>
  <c r="I12" i="11"/>
  <c r="I11" i="11"/>
  <c r="I10" i="11"/>
  <c r="I15" i="20"/>
  <c r="F10" i="21" s="1"/>
  <c r="I14" i="15"/>
  <c r="C8" i="21" s="1"/>
  <c r="I17" i="15"/>
  <c r="F8" i="21" s="1"/>
  <c r="I16" i="15"/>
  <c r="E8" i="21" s="1"/>
  <c r="I18" i="5"/>
  <c r="F13" i="21" s="1"/>
  <c r="I17" i="9"/>
  <c r="D7" i="21" s="1"/>
  <c r="F15" i="21"/>
  <c r="I17" i="14"/>
  <c r="F16" i="21" s="1"/>
  <c r="I18" i="17"/>
  <c r="F6" i="21" s="1"/>
  <c r="I15" i="5"/>
  <c r="C13" i="21" s="1"/>
  <c r="I16" i="5"/>
  <c r="D13" i="21" s="1"/>
  <c r="I17" i="5"/>
  <c r="E13" i="21" s="1"/>
  <c r="C15" i="21"/>
  <c r="D15" i="21"/>
  <c r="E15" i="21"/>
  <c r="I14" i="14"/>
  <c r="C16" i="21" s="1"/>
  <c r="I15" i="14"/>
  <c r="D16" i="21" s="1"/>
  <c r="I16" i="14"/>
  <c r="E16" i="21" s="1"/>
  <c r="I19" i="9"/>
  <c r="F7" i="21" s="1"/>
  <c r="I18" i="9"/>
  <c r="E7" i="21" s="1"/>
  <c r="I12" i="20"/>
  <c r="C10" i="21" s="1"/>
  <c r="I13" i="20"/>
  <c r="D10" i="21" s="1"/>
  <c r="I14" i="20"/>
  <c r="E10" i="21" s="1"/>
  <c r="I15" i="17"/>
  <c r="C6" i="21" s="1"/>
  <c r="I16" i="17"/>
  <c r="D6" i="21" s="1"/>
  <c r="I17" i="17"/>
  <c r="E6" i="21" s="1"/>
  <c r="P15" i="17"/>
  <c r="I6" i="21" s="1"/>
  <c r="P16" i="17"/>
  <c r="J6" i="21" s="1"/>
  <c r="P17" i="17"/>
  <c r="K6" i="21" s="1"/>
  <c r="I16" i="9"/>
  <c r="C7" i="21" s="1"/>
  <c r="P17" i="1"/>
  <c r="L12" i="21" s="1"/>
  <c r="I14" i="1"/>
  <c r="C12" i="21" s="1"/>
  <c r="I14" i="3"/>
  <c r="D11" i="21" s="1"/>
  <c r="I13" i="3"/>
  <c r="C11" i="21" s="1"/>
  <c r="I16" i="3"/>
  <c r="F11" i="21" s="1"/>
  <c r="I15" i="3"/>
  <c r="E11" i="21" s="1"/>
  <c r="P15" i="5"/>
  <c r="I13" i="21" s="1"/>
  <c r="P17" i="5"/>
  <c r="K13" i="21" s="1"/>
  <c r="P18" i="5"/>
  <c r="L13" i="21" s="1"/>
  <c r="P16" i="5"/>
  <c r="J13" i="21" s="1"/>
  <c r="P13" i="3"/>
  <c r="I11" i="21" s="1"/>
  <c r="P15" i="3"/>
  <c r="K11" i="21" s="1"/>
  <c r="P16" i="3"/>
  <c r="L11" i="21" s="1"/>
  <c r="P14" i="3"/>
  <c r="J11" i="21" s="1"/>
  <c r="AY11" i="21" l="1"/>
  <c r="AZ10" i="21" s="1"/>
  <c r="AZ7" i="21"/>
  <c r="AZ8" i="21"/>
  <c r="W19" i="21"/>
  <c r="AC19" i="21"/>
  <c r="I17" i="11"/>
  <c r="E9" i="21" s="1"/>
  <c r="N11" i="21"/>
  <c r="H13" i="21"/>
  <c r="I17" i="19"/>
  <c r="F5" i="21" s="1"/>
  <c r="I15" i="19"/>
  <c r="D5" i="21" s="1"/>
  <c r="I14" i="19"/>
  <c r="C5" i="21" s="1"/>
  <c r="N13" i="21"/>
  <c r="O13" i="21" s="1"/>
  <c r="G16" i="21"/>
  <c r="H16" i="21"/>
  <c r="G15" i="21"/>
  <c r="H15" i="21" s="1"/>
  <c r="I18" i="11"/>
  <c r="F9" i="21" s="1"/>
  <c r="I15" i="11"/>
  <c r="C9" i="21" s="1"/>
  <c r="I16" i="11"/>
  <c r="D9" i="21" s="1"/>
  <c r="G13" i="21"/>
  <c r="M13" i="21"/>
  <c r="G17" i="21"/>
  <c r="H17" i="21" s="1"/>
  <c r="G8" i="21"/>
  <c r="H8" i="21" s="1"/>
  <c r="G7" i="21"/>
  <c r="H7" i="21" s="1"/>
  <c r="P16" i="15"/>
  <c r="K8" i="21" s="1"/>
  <c r="P14" i="15"/>
  <c r="I8" i="21" s="1"/>
  <c r="P17" i="15"/>
  <c r="L8" i="21" s="1"/>
  <c r="P15" i="15"/>
  <c r="J8" i="21" s="1"/>
  <c r="P19" i="9"/>
  <c r="L7" i="21" s="1"/>
  <c r="M11" i="21"/>
  <c r="G11" i="21"/>
  <c r="H11" i="21" s="1"/>
  <c r="O11" i="21" s="1"/>
  <c r="G6" i="21"/>
  <c r="H6" i="21" s="1"/>
  <c r="G10" i="21"/>
  <c r="H10" i="21" s="1"/>
  <c r="M6" i="21"/>
  <c r="N6" i="21" s="1"/>
  <c r="L15" i="21"/>
  <c r="I15" i="21"/>
  <c r="J15" i="21"/>
  <c r="K15" i="21"/>
  <c r="P14" i="1"/>
  <c r="I12" i="21" s="1"/>
  <c r="P15" i="1"/>
  <c r="J12" i="21" s="1"/>
  <c r="P16" i="1"/>
  <c r="K12" i="21" s="1"/>
  <c r="N12" i="21" s="1"/>
  <c r="I15" i="1"/>
  <c r="D12" i="21" s="1"/>
  <c r="I16" i="1"/>
  <c r="E12" i="21" s="1"/>
  <c r="I17" i="1"/>
  <c r="F12" i="21" s="1"/>
  <c r="P14" i="28"/>
  <c r="I17" i="21" s="1"/>
  <c r="P16" i="28"/>
  <c r="K17" i="21" s="1"/>
  <c r="P17" i="28"/>
  <c r="L17" i="21" s="1"/>
  <c r="P15" i="28"/>
  <c r="J17" i="21" s="1"/>
  <c r="P16" i="9"/>
  <c r="I7" i="21" s="1"/>
  <c r="P18" i="9"/>
  <c r="K7" i="21" s="1"/>
  <c r="I13" i="37"/>
  <c r="I14" i="37"/>
  <c r="I15" i="37"/>
  <c r="AZ5" i="21" l="1"/>
  <c r="G5" i="21"/>
  <c r="H5" i="21" s="1"/>
  <c r="AZ6" i="21"/>
  <c r="AZ9" i="21"/>
  <c r="E18" i="21"/>
  <c r="D18" i="21"/>
  <c r="G9" i="21"/>
  <c r="H9" i="21" s="1"/>
  <c r="C18" i="21"/>
  <c r="P14" i="14"/>
  <c r="I16" i="21" s="1"/>
  <c r="P15" i="20"/>
  <c r="L10" i="21" s="1"/>
  <c r="P13" i="20"/>
  <c r="J10" i="21" s="1"/>
  <c r="P14" i="20"/>
  <c r="K10" i="21" s="1"/>
  <c r="P12" i="20"/>
  <c r="I10" i="21" s="1"/>
  <c r="P13" i="37"/>
  <c r="P15" i="37"/>
  <c r="P14" i="37"/>
  <c r="P16" i="37"/>
  <c r="N17" i="21"/>
  <c r="O17" i="21" s="1"/>
  <c r="M8" i="21"/>
  <c r="N8" i="21" s="1"/>
  <c r="O8" i="21" s="1"/>
  <c r="P17" i="9"/>
  <c r="J7" i="21" s="1"/>
  <c r="M7" i="21" s="1"/>
  <c r="N7" i="21" s="1"/>
  <c r="O7" i="21" s="1"/>
  <c r="M17" i="21"/>
  <c r="M15" i="21"/>
  <c r="N15" i="21" s="1"/>
  <c r="O15" i="21" s="1"/>
  <c r="G12" i="21"/>
  <c r="H12" i="21" s="1"/>
  <c r="O12" i="21" s="1"/>
  <c r="M12" i="21"/>
  <c r="F18" i="21"/>
  <c r="O6" i="21"/>
  <c r="M10" i="21" l="1"/>
  <c r="N10" i="21"/>
  <c r="O10" i="21" s="1"/>
  <c r="P17" i="14"/>
  <c r="L16" i="21" s="1"/>
  <c r="P16" i="14"/>
  <c r="K16" i="21" s="1"/>
  <c r="P15" i="14"/>
  <c r="J16" i="21" s="1"/>
  <c r="P17" i="11"/>
  <c r="K9" i="21" s="1"/>
  <c r="P15" i="11"/>
  <c r="I9" i="21" s="1"/>
  <c r="P18" i="11"/>
  <c r="L9" i="21" s="1"/>
  <c r="N9" i="21" s="1"/>
  <c r="O9" i="21" s="1"/>
  <c r="P16" i="11"/>
  <c r="J9" i="21" s="1"/>
  <c r="P17" i="19"/>
  <c r="L5" i="21" s="1"/>
  <c r="P14" i="19"/>
  <c r="I5" i="21" s="1"/>
  <c r="P16" i="19"/>
  <c r="K5" i="21" s="1"/>
  <c r="P15" i="19"/>
  <c r="J5" i="21" s="1"/>
  <c r="G18" i="21"/>
  <c r="H18" i="21" s="1"/>
  <c r="J18" i="21" l="1"/>
  <c r="M16" i="21"/>
  <c r="N16" i="21" s="1"/>
  <c r="O16" i="21" s="1"/>
  <c r="K18" i="21"/>
  <c r="L18" i="21"/>
  <c r="I18" i="21"/>
  <c r="M5" i="21"/>
  <c r="N5" i="21" s="1"/>
  <c r="O5" i="21" s="1"/>
  <c r="M9" i="21"/>
  <c r="M18" i="21" l="1"/>
  <c r="N18" i="21" s="1"/>
  <c r="O1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Y11" authorId="0" shapeId="0" xr:uid="{00000000-0006-0000-0400-000001000000}">
      <text>
        <r>
          <rPr>
            <b/>
            <sz val="9"/>
            <color rgb="FF000000"/>
            <rFont val="Tahoma"/>
            <family val="2"/>
          </rPr>
          <t xml:space="preserve">Autor:
</t>
        </r>
        <r>
          <rPr>
            <b/>
            <sz val="9"/>
            <color rgb="FF000000"/>
            <rFont val="Tahoma"/>
            <family val="2"/>
          </rPr>
          <t>Son 27 historias laborales de los funcionarios de planta</t>
        </r>
      </text>
    </comment>
  </commentList>
</comments>
</file>

<file path=xl/sharedStrings.xml><?xml version="1.0" encoding="utf-8"?>
<sst xmlns="http://schemas.openxmlformats.org/spreadsheetml/2006/main" count="2447" uniqueCount="779">
  <si>
    <t>Proceso:</t>
  </si>
  <si>
    <t>Objetivo del Proceso:</t>
  </si>
  <si>
    <t>CAUSAS</t>
  </si>
  <si>
    <t>RIESGO</t>
  </si>
  <si>
    <t>DESCRIPCIÓN</t>
  </si>
  <si>
    <t>CONSECUENCIAS POTENCIALES</t>
  </si>
  <si>
    <t>Probabilidad</t>
  </si>
  <si>
    <t>Impacto</t>
  </si>
  <si>
    <t>ACCIONES</t>
  </si>
  <si>
    <t>INDICADOR</t>
  </si>
  <si>
    <t>OPCIÓN DE MANEJO</t>
  </si>
  <si>
    <t>CONTROLES</t>
  </si>
  <si>
    <t>Legal</t>
  </si>
  <si>
    <t>CONTABILIDAD</t>
  </si>
  <si>
    <t>Moderado</t>
  </si>
  <si>
    <t>Financiero</t>
  </si>
  <si>
    <t xml:space="preserve">             MAPA DE RIESGOS INSTITUCIONAL </t>
  </si>
  <si>
    <t>PERIODICIDAD</t>
  </si>
  <si>
    <t>Mensual</t>
  </si>
  <si>
    <t>Trimestral</t>
  </si>
  <si>
    <t>Anual</t>
  </si>
  <si>
    <t xml:space="preserve"> </t>
  </si>
  <si>
    <t>Diario</t>
  </si>
  <si>
    <t>Semanal</t>
  </si>
  <si>
    <t>Zona de Riesgo</t>
  </si>
  <si>
    <t xml:space="preserve">Año: </t>
  </si>
  <si>
    <t>PRESUPUESTO</t>
  </si>
  <si>
    <t>Cumplimiento</t>
  </si>
  <si>
    <t>Tipo de Riesgo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</si>
  <si>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</si>
  <si>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</si>
  <si>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</si>
  <si>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</si>
  <si>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</si>
  <si>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</si>
  <si>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</si>
  <si>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</si>
  <si>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</si>
  <si>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</si>
  <si>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</si>
  <si>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</si>
  <si>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</si>
  <si>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</si>
  <si>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</si>
  <si>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</si>
  <si>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</si>
  <si>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</si>
  <si>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</si>
  <si>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</si>
  <si>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</si>
  <si>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</si>
  <si>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</si>
  <si>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</si>
  <si>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</si>
  <si>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</si>
  <si>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</si>
  <si>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</si>
  <si>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</si>
  <si>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TESORERÍA</t>
  </si>
  <si>
    <t>Efectuar pago a proveedor equivocado</t>
  </si>
  <si>
    <t>Hallazgos de tipo administrativo, incumplimiento de procesos de tesoreria</t>
  </si>
  <si>
    <t>Inconformidad por parte de los proveedores por mora en el pago,por consignación extraviada</t>
  </si>
  <si>
    <t>Verificación del RUT, nombre del proveedor y cuenta a consignar</t>
  </si>
  <si>
    <t>Revisión permanente al momento de efectuar el giro</t>
  </si>
  <si>
    <t>Tesoreria</t>
  </si>
  <si>
    <t>Permanente</t>
  </si>
  <si>
    <t>Alteraciones en el inventario de la Institución por falencias en el proceso de entrega de bienes y suministros</t>
  </si>
  <si>
    <t>Detrimento patrimonial por pérdida de demandas.</t>
  </si>
  <si>
    <t>Semestral</t>
  </si>
  <si>
    <t>Talento Humano</t>
  </si>
  <si>
    <t>Sanciones por parte de los entes de control</t>
  </si>
  <si>
    <t>Consecuencias legales y judiciales para el ordenador del Gasto y para la entidad</t>
  </si>
  <si>
    <t>CONTROL INTERNO</t>
  </si>
  <si>
    <t>Control Interno</t>
  </si>
  <si>
    <t>Salud Ocupacional</t>
  </si>
  <si>
    <t>Bimestral</t>
  </si>
  <si>
    <t>Confianza e imagen</t>
  </si>
  <si>
    <t>Premura en el proceso de contratación por necesidades del servicio</t>
  </si>
  <si>
    <t>Baja adherencia a los procedimientos de Almacén</t>
  </si>
  <si>
    <t>Reducir el riesgo</t>
  </si>
  <si>
    <t>Contabilidad</t>
  </si>
  <si>
    <t>Urgencia para el pago debido a compromisos adquiridos con proveedores</t>
  </si>
  <si>
    <t>Deficiencia en mecanismos de verificación</t>
  </si>
  <si>
    <t>Evitar el riesgo</t>
  </si>
  <si>
    <t>Transferir el riesgo</t>
  </si>
  <si>
    <t>Planeación</t>
  </si>
  <si>
    <t>Jurídica</t>
  </si>
  <si>
    <t>Contratación</t>
  </si>
  <si>
    <t>PROCESO:</t>
  </si>
  <si>
    <t>Presupuesto</t>
  </si>
  <si>
    <t>Tesorería</t>
  </si>
  <si>
    <t>Almacén</t>
  </si>
  <si>
    <t>Sistemas</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</si>
  <si>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</si>
  <si>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</si>
  <si>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</si>
  <si>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</si>
  <si>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</si>
  <si>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</si>
  <si>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</si>
  <si>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</si>
  <si>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</si>
  <si>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</si>
  <si>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</si>
  <si>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</si>
  <si>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</si>
  <si>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</si>
  <si>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</si>
  <si>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</si>
  <si>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</si>
  <si>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</si>
  <si>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</si>
  <si>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</si>
  <si>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</si>
  <si>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</si>
  <si>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</si>
  <si>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</si>
  <si>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</si>
  <si>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</si>
  <si>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</si>
  <si>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</si>
  <si>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</si>
  <si>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</si>
  <si>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</si>
  <si>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</si>
  <si>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</si>
  <si>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</si>
  <si>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</si>
  <si>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EVOLUCIÓN DEL MAPA DE RIESGOS AREA ADMINISTRATIVA</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</si>
  <si>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</si>
  <si>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</si>
  <si>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</si>
  <si>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</si>
  <si>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</si>
  <si>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</si>
  <si>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</si>
  <si>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</si>
  <si>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</si>
  <si>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</si>
  <si>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</si>
  <si>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</si>
  <si>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</si>
  <si>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</si>
  <si>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</si>
  <si>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</si>
  <si>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</si>
  <si>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</si>
  <si>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</si>
  <si>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</si>
  <si>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</si>
  <si>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</si>
  <si>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</si>
  <si>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</si>
  <si>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</si>
  <si>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</si>
  <si>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</si>
  <si>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</si>
  <si>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</si>
  <si>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</si>
  <si>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</si>
  <si>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</si>
  <si>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</si>
  <si>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</si>
  <si>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</si>
  <si>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</si>
  <si>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</si>
  <si>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</si>
  <si>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</si>
  <si>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</si>
  <si>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</si>
  <si>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</si>
  <si>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</si>
  <si>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</si>
  <si>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</si>
  <si>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</si>
  <si>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</si>
  <si>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</si>
  <si>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</si>
  <si>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</si>
  <si>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</si>
  <si>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</si>
  <si>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</si>
  <si>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</si>
  <si>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</si>
  <si>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</si>
  <si>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</si>
  <si>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</si>
  <si>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</si>
  <si>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</si>
  <si>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</si>
  <si>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</si>
  <si>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</si>
  <si>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</si>
  <si>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</si>
  <si>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</si>
  <si>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</si>
  <si>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</si>
  <si>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</si>
  <si>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</si>
  <si>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</si>
  <si>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</si>
  <si>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</si>
  <si>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</si>
  <si>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</si>
  <si>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</si>
  <si>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</si>
  <si>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</si>
  <si>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OBSERVACIONES DE CONTROL INTERNO</t>
  </si>
  <si>
    <t>Avance 
en la reducción del Riesgo</t>
  </si>
  <si>
    <t xml:space="preserve">Elaboró: </t>
  </si>
  <si>
    <t xml:space="preserve">Guardado en: </t>
  </si>
  <si>
    <t>Evaluación del Control</t>
  </si>
  <si>
    <t xml:space="preserve">Evitar el Riesgo </t>
  </si>
  <si>
    <t>Riesgo Inherente</t>
  </si>
  <si>
    <t>Riesgo Residual</t>
  </si>
  <si>
    <t>REGISTROS</t>
  </si>
  <si>
    <t xml:space="preserve">Estado a junio 30 </t>
  </si>
  <si>
    <t>La radicación y entrega de los oficios es inmediata</t>
  </si>
  <si>
    <t>Se hace desscarga del Libro Auxiliar de Existencias para tener control total de los ingresos en existencias</t>
  </si>
  <si>
    <t>Situación a Junio 30 de 2017</t>
  </si>
  <si>
    <t>Elaboró:</t>
  </si>
  <si>
    <t xml:space="preserve">Revisó: </t>
  </si>
  <si>
    <t>A Marzo 30 de 2018</t>
  </si>
  <si>
    <t>A Junio 30 de 2018</t>
  </si>
  <si>
    <t>Estado a junio 30 2018</t>
  </si>
  <si>
    <t xml:space="preserve">Archivo Central </t>
  </si>
  <si>
    <t xml:space="preserve">Correctivo </t>
  </si>
  <si>
    <t xml:space="preserve">Detectivo </t>
  </si>
  <si>
    <t>Preventivo</t>
  </si>
  <si>
    <t>A</t>
  </si>
  <si>
    <t>B</t>
  </si>
  <si>
    <t xml:space="preserve">RESPONSABLE </t>
  </si>
  <si>
    <t xml:space="preserve">Mensual </t>
  </si>
  <si>
    <t>Sanciones, destitución, riesgos de corrupción. Hallazgos de entes de control, no cumplimiento de metas</t>
  </si>
  <si>
    <t xml:space="preserve">Falta de personal con conocimiento encargado, falta de comunicación entre las areas, </t>
  </si>
  <si>
    <t xml:space="preserve">Eventual </t>
  </si>
  <si>
    <t xml:space="preserve">Asumir el Riesgo </t>
  </si>
  <si>
    <t xml:space="preserve">Reducir el Riesgo </t>
  </si>
  <si>
    <t>Auditorias programadas con influencia en visitas y resultados.</t>
  </si>
  <si>
    <t>Informe final de Auditoria realizado sin socializacion al lider del proceso.</t>
  </si>
  <si>
    <t xml:space="preserve">Que los Dueños del
proceso evaluado, no
cuenten con
retroalimentación del
mismo a través de la
evaluación independiente
de la Oficina de Control
Interno. Que las recomendaciones dadas no sean  tenidas encuentas para acciones de mejora.
</t>
  </si>
  <si>
    <t># de informes finales de auditorias socializados/# de total de auditorias realizadas.</t>
  </si>
  <si>
    <t>desconocmiento de la normatividad,  falta de cultura de planeacion y organización.</t>
  </si>
  <si>
    <t># de informes presentados de forma oportuna/# total de informes programados  por ley.</t>
  </si>
  <si>
    <t xml:space="preserve">Elaboro y proyecto </t>
  </si>
  <si>
    <t>Recibio y aprobo</t>
  </si>
  <si>
    <t xml:space="preserve">Descuido o negligencia del abogado. dar respuesta a requerimientos judiciales fuera de los terminos legales </t>
  </si>
  <si>
    <t xml:space="preserve">Defensa judicial </t>
  </si>
  <si>
    <t>Oficio de respuesta a las solicitudes judiciales, cronograma presentacion ante los juzgados</t>
  </si>
  <si>
    <t xml:space="preserve">Contratos celebrados sin poliza o garantías legales </t>
  </si>
  <si>
    <t>Sanciones fiscales y disciplinarias  para la  entidad.</t>
  </si>
  <si>
    <t xml:space="preserve">Contratos celebrados con falta de requisitos legales </t>
  </si>
  <si>
    <t>Retardo en la entrega de los documentos contractuales</t>
  </si>
  <si>
    <t xml:space="preserve">Consecuencias legales para ordenador del gasto de la entidad., hallazgos de entes de control </t>
  </si>
  <si>
    <t xml:space="preserve">Oficina Juridica </t>
  </si>
  <si>
    <t>Carpetas de contratos. Con toda la documentacion firmadas.</t>
  </si>
  <si>
    <t xml:space="preserve">Lsita de chequeo diligenciada, normograma. Contrato revisado </t>
  </si>
  <si>
    <t xml:space="preserve">Plataformas SECOP y SIA Observa. Informe de publicaciones mensual </t>
  </si>
  <si>
    <t>Atencion al Usuario</t>
  </si>
  <si>
    <t xml:space="preserve">Atencion al Usuruario </t>
  </si>
  <si>
    <t xml:space="preserve">Calificación Mapa de Riesgos General </t>
  </si>
  <si>
    <t>Aprobo:</t>
  </si>
  <si>
    <t>RESPONSABLE</t>
  </si>
  <si>
    <t xml:space="preserve">Lider Seguridad y Salud en el Trabajo </t>
  </si>
  <si>
    <t xml:space="preserve">Anual </t>
  </si>
  <si>
    <t xml:space="preserve">Trimestral </t>
  </si>
  <si>
    <t xml:space="preserve">Reduce el Riesgo </t>
  </si>
  <si>
    <t>Desconocimiento del procedimiento que hacen parte del manual de funciones. No aplicación de los formatos (kardex - ingresos y egresos de almacen)</t>
  </si>
  <si>
    <t>Incertidumbre frente al stock de inventarios.                    - Incumplimiento apoyo a eventos del instituto.</t>
  </si>
  <si>
    <t xml:space="preserve">Semestral </t>
  </si>
  <si>
    <t xml:space="preserve">Lider de Almacen </t>
  </si>
  <si>
    <t>Brindar informacion errada.                -Omision de informacion               - Demandas contra el insituto o procedimientos judiciales.             -Sanciones por entes de control.</t>
  </si>
  <si>
    <t>Documentos de archivo con registro historico que no se encuentran fisicamente.</t>
  </si>
  <si>
    <t>Libros de Radicación y Préstamo de Documentos.                  - Actas de comité.</t>
  </si>
  <si>
    <t xml:space="preserve">Actas de visita con especificaciones </t>
  </si>
  <si>
    <t>Revisión periodica de la documentación archivada para detectar cualquer anomalia que pueda deteriorarla</t>
  </si>
  <si>
    <t xml:space="preserve">Sistemas operativos en funcionamiento sin licencias </t>
  </si>
  <si>
    <t>Hojas de vidas de los equipos de computo.                   -Software libre y open sourse</t>
  </si>
  <si>
    <t>Backups de la Información                        -Sistemas de alimentacion auxiliar (UPS)</t>
  </si>
  <si>
    <t>Cheques y token habilitados con vulnerabilidad ante el robo.</t>
  </si>
  <si>
    <t>Descuido del funcionario con el ocntrol de seguridad en la tesoreria.</t>
  </si>
  <si>
    <t xml:space="preserve">Perdida de dinero.                  -Hallazgos disciplinarios por entes de control.                 </t>
  </si>
  <si>
    <t xml:space="preserve">Guardar los cheques y el token en la caja fuerte </t>
  </si>
  <si>
    <t xml:space="preserve">Mantener los cheques y token dentro de la caja fuerte </t>
  </si>
  <si>
    <t xml:space="preserve">No requiere </t>
  </si>
  <si>
    <t># de chequeras y token guardados / # de chequeras y token habilitados en el banco.</t>
  </si>
  <si>
    <t>Pago de cuentas programadas sin los debidos soportes de pago.</t>
  </si>
  <si>
    <t xml:space="preserve">Verificar los soportes de ejecucion del contrato </t>
  </si>
  <si>
    <t xml:space="preserve">Dar cumplimiento a la lista a la verificacion de los soportes </t>
  </si>
  <si>
    <t xml:space="preserve">Supervisor - presupuesto - tesoreria </t>
  </si>
  <si>
    <t xml:space="preserve">Orden de pago y acta de supervision diligenciadas y firmadas </t>
  </si>
  <si>
    <t xml:space="preserve">Descuido en los mencanimos de verificacion de saldos en las cuentas bancarias </t>
  </si>
  <si>
    <t xml:space="preserve">Realizar pagos sin verificar los saldos en libros en bancos </t>
  </si>
  <si>
    <t xml:space="preserve">Hallazgos disiciplinarios por parte de la contraloria.                              - Sobregiro que acarrean intereses y sanciones </t>
  </si>
  <si>
    <t>Monitoreo permanente con revision de saldos en cuentas bancarias en revision de chequera y monitoreo de saldo en el portal empresarial.</t>
  </si>
  <si>
    <t xml:space="preserve">Diario </t>
  </si>
  <si>
    <t>Saldos diario del libro de bancos, saldo diario de las cuentas bancarias en el portal empresarial.</t>
  </si>
  <si>
    <t xml:space="preserve">Servidores publicos sin conomcientos adecuados sobre las funciones y la entidad </t>
  </si>
  <si>
    <t xml:space="preserve">Lider talento humano </t>
  </si>
  <si>
    <t># de induccion y reinducciones realizadas / # total de induciones y reinduccion programadas.</t>
  </si>
  <si>
    <t xml:space="preserve">Hojas de vidas existentes desactualizadas de los funcionarios de planta </t>
  </si>
  <si>
    <t xml:space="preserve">Desconocimiento de los funcionarios responsables del proceso.                                      - Falta de comunicación en el reporte de las novedades </t>
  </si>
  <si>
    <t>Confrontar las hojas de vida con las novedades que genera cada servidor publico (pago de prestaciones sociales - estudios - incapacidades)                - Cumplimiento de la lista de chequeo y contenido de la hoja de vida según normatividad vigente.</t>
  </si>
  <si>
    <t>Tabla de contenido actualizada.</t>
  </si>
  <si>
    <t># de hojas de vidas actualizadas / # total de hojas de vidas activas.</t>
  </si>
  <si>
    <t>Caracterizacion del proceso nomina.                         - Revisar cada 15 dias las novedades de cada servidor.</t>
  </si>
  <si>
    <t xml:space="preserve">Lider de Nomina </t>
  </si>
  <si>
    <t>Seguridad social liquidadas y pagadas sin el registro total de las novedades.</t>
  </si>
  <si>
    <t xml:space="preserve">Novedades no reportadas dentro de los tiempos al area de nomina.                                           </t>
  </si>
  <si>
    <t xml:space="preserve"># de planillas de seguirdad social  generadas con errores / # total de planillas de seguridad social. </t>
  </si>
  <si>
    <t>Lider de presupuesto.</t>
  </si>
  <si>
    <t xml:space="preserve">RESPONSABLES </t>
  </si>
  <si>
    <t>SISTEMAS DE INFORMACIÓN</t>
  </si>
  <si>
    <t>* Problemas con el cableado estructurado
* Fallas en los switches
* Fallas en la UPS
* Problemas con la planta electrica       
* Ausencia de Mantenimiento Preventivo.  
*Variaciones en la corriente electrica.                  . Desastre natural</t>
  </si>
  <si>
    <t>parálisis en los procesos ejecutados, retrasos en la atención de usuarios y pérdida de informacion.</t>
  </si>
  <si>
    <t>Implementar Plan de seguridad y privacidad de informacion.                                -Restringuir el acceso a paginas que no sean de uso institucional.                 -Mantener todos los equipos con software de deteccion de archivos dañinos.            -Implementacion de software anti ramssoware.</t>
  </si>
  <si>
    <t>* Ausencia de un paquete de protección antivirus. 
* Manipulación del servidor por parte de varios usuarios.      
* Habilitación de puertos en el servidor.. Hackers y por urilizacion de memorias USB externas.</t>
  </si>
  <si>
    <t xml:space="preserve">Lider Sistemas de información </t>
  </si>
  <si>
    <t xml:space="preserve">Acta de socializacion de la politica de seguridad y privacidad.                      -Registro de eventos que sucedan en cada equipo.                        </t>
  </si>
  <si>
    <t xml:space="preserve">   * Actualización automática y periodica del software antivirus.                                        
         . Limitar acceso a páginas de Internet no relacionadas con las labores institucionales.                                                           *Programar los equipos de trabajo de acuerdo al perfil del usuario.                           </t>
  </si>
  <si>
    <t># de equipos de computo con las software antivirus actualizado / # total de equipos de la ESE</t>
  </si>
  <si>
    <t>Falta de presupuesto.            para la adquisición de licencias</t>
  </si>
  <si>
    <t>Hojas de vida de los equipos de computo y contratos de renovación de licencias de software institucional</t>
  </si>
  <si>
    <t># de equipos con licenciamiento vigente /# total de equipos con que cuenta la entidad.</t>
  </si>
  <si>
    <t>Sistema de información suspendido que imposibilita su uso</t>
  </si>
  <si>
    <t>Paralisis en los procesos. Demoras en la atención a los usuarios                                    Ausencia de registro de información en el sistema  que afecta su trazabilidad</t>
  </si>
  <si>
    <t xml:space="preserve">
</t>
  </si>
  <si>
    <t>Reportar  fallas en la corriente electrica.   Verificar el cumplimiento del cronograma del mantenimiento de la planta electrica y de la UPS .*Cambio de switches en el momento de falla.    Realizar copias de seguridad según procedimiento establecido.                                   Solicitar la renovacion del cableado estructurado.</t>
  </si>
  <si>
    <t>Lider Sistemas de información</t>
  </si>
  <si>
    <t>Registros de mantenimiento preventivo de planta electrica y UPS.</t>
  </si>
  <si>
    <t xml:space="preserve">Hardware funcionando de manera inadecuada </t>
  </si>
  <si>
    <t xml:space="preserve">Inadecuado mantenimiento preventivo y correctivo de equipos                                           Uso inadecuado del Hardware por parte del cliente interno                        Descargas electricas                     </t>
  </si>
  <si>
    <t>Paro en el funcionamiento de los procesos                                                              Perdida de informacion</t>
  </si>
  <si>
    <t>Equipos de computo existentes infectados con virus informaticos</t>
  </si>
  <si>
    <t>HOSPITAL ROBERTO QUINTERO VILLA ESE MONTENEGRO</t>
  </si>
  <si>
    <t>DIRECCIONAMIENTO Y GERENCIA</t>
  </si>
  <si>
    <t>CALIDAD</t>
  </si>
  <si>
    <t>COMPRAS, BIENES Y SUMINISTROS</t>
  </si>
  <si>
    <t xml:space="preserve">Beatriz Elena Giraldo Montes - Jefe Oficina de Control Interno </t>
  </si>
  <si>
    <t xml:space="preserve">Myriam Bejarano Pulido  - Gerente </t>
  </si>
  <si>
    <t>D:\CONTROL INTERNO\GESTION DEL RIESGO\ MAPA DE RIESGOS 2018\</t>
  </si>
  <si>
    <t>Plan de Accion, Plan de Desarrollo, Plan de Gestión Gerencial, Plan Anticorrupción</t>
  </si>
  <si>
    <t>Responsable  de planeacion</t>
  </si>
  <si>
    <t>Planeación institucional elaborada sin cumplimiento de requisitos técnicos y legales</t>
  </si>
  <si>
    <t>Sanciones,  Hallazgos de entes de control, no cumplimiento de metas</t>
  </si>
  <si>
    <t xml:space="preserve">Personal vinculado que no conoce la planeación institucional </t>
  </si>
  <si>
    <t>Seguimiento trimestral al cumplimiento de los planes institucionales</t>
  </si>
  <si>
    <t>Incumplimiento de metas institucionales, hallazgos entes de control</t>
  </si>
  <si>
    <t>Planes institucionales adoptados sin seguimiento en la ejecucion de metas.</t>
  </si>
  <si>
    <t># de planes suscritos con seguimiento/ # total de planes suscritos en el Hospital</t>
  </si>
  <si>
    <t xml:space="preserve">Listado de planes institucionales con normatividad, asesoría frente lineamientos técnicos, acompañamiento desde el proceso de planeación </t>
  </si>
  <si>
    <t>Capacitación, asesoría y acompañamiento a responsables de  planes institucionales</t>
  </si>
  <si>
    <t>Responsable de Planeación</t>
  </si>
  <si>
    <t># de planes que cumplen lineamientos tecnicos/ # total de planes suscritos en el Hospital</t>
  </si>
  <si>
    <t>Listado de planes institucionales con normatividad, actas de capacitación y asesoría, conceptos emitidos sobre planes formulados</t>
  </si>
  <si>
    <t>Actas de socialización, Registros de asistencia</t>
  </si>
  <si>
    <t>Consolidación de prácticas autocrátricas en la selección de áreas y procesos a controlar.
  - Pérdida de recursos y de confiabilidad.</t>
  </si>
  <si>
    <t>Adopción y aplicación del estatuto de auditoria interna, Establecer un programa de auditorias internas basado en riesgos y aprobado por Comité Institucional de Control Interno.</t>
  </si>
  <si>
    <t xml:space="preserve">Adoptar metodología para la seleccción de procesos auditar  con base en riesgos.  Someter aprobación del Comité de Control Interno el Plan Anual de Auditorias Internas y  Realizar seguimiento al cumplimiento </t>
  </si>
  <si>
    <t>FECHA</t>
  </si>
  <si>
    <t>informe final de auditoria firmado y aprobado por el auditado</t>
  </si>
  <si>
    <t xml:space="preserve"> Establecimiento de sanciones disciplinarias y/o pecunarias por parte de los entes de control</t>
  </si>
  <si>
    <t xml:space="preserve">Informes presentados con sellos de radicacion, constancias de envío y link de publicacion cuando se requiera. </t>
  </si>
  <si>
    <t>Elaboración de cronograma de rendición de informes con fechas de presentación, normatividad que lo rige y responsable</t>
  </si>
  <si>
    <t>Derechos de petición contestados por fuera de los términos de ley</t>
  </si>
  <si>
    <t>Posibles sanciones disciplinarias, deterioro de la imagen institucional</t>
  </si>
  <si>
    <t>Falta de seguimiento a la respuesta oportuna a los derechos de petición</t>
  </si>
  <si>
    <t>Permanentemente</t>
  </si>
  <si>
    <t>Realizar seguimiento a la respuesta a los derechos de petición en oportunidad, revisión del contenido de la respuesta por parte de la oficina juridica para verificar calidad de la misma</t>
  </si>
  <si>
    <t>Oficina jurídica</t>
  </si>
  <si>
    <t>Instrumento de seguimiento a derechos de petición, visto bueno de la oficina juridica a respuestas</t>
  </si>
  <si>
    <t># de derechos de petición contestados dentro de los términos de ley /# total derechos de petición recibidos</t>
  </si>
  <si>
    <t>Revision Estudios previos, Seguimiento a los contratos, Aprobacion de polizas por parte oficina juridica. Antes de notificacion de supervision y acta de inicio.</t>
  </si>
  <si>
    <t>Hoja de ruta de los contratos celebrados en la entidad con base en el estatuto y manual de contratacion</t>
  </si>
  <si>
    <t># de contratos publicados oportunamente / # total de contratos celebrados</t>
  </si>
  <si>
    <t xml:space="preserve">Oficina juridica </t>
  </si>
  <si>
    <t>Capacitación a líderes de procesos para agilizar etapa pre-contractual</t>
  </si>
  <si>
    <t xml:space="preserve">Inadecuada aplicación del Manual de Contratación Institucional </t>
  </si>
  <si>
    <t xml:space="preserve">Seguimiento a la revision de los estudios previos, verificacion listas de chequeo. Acta firmada de aprobacion de polizas. </t>
  </si>
  <si>
    <t># de contratos celebrados  con grarantias legales /# total de contratos celebrados en los que se hace exigible la garantia.</t>
  </si>
  <si>
    <t>Acompañamiento de oficina jurídica para dar cumplimiento de forma y fondo a las peticiones de los ciudadanos, velando por la oportunidad en la respuesta</t>
  </si>
  <si>
    <t>Realizar y actualizar constanteme el Cronograma de presentación de respuestas ante los juzgados de acuerdo a las necesidades dela entidad, visitas a juzgados que emiten providencias, consulta de boletin judicial</t>
  </si>
  <si>
    <t>Sanciones disciplinarias y administrativas, juridicas, demadas, eventos adversos, quejas.</t>
  </si>
  <si>
    <t>Duplicidad documental, Sanciones disciplinarias y administrativas, juridicas, demadas, eventos adversos, quejas</t>
  </si>
  <si>
    <t>Pérdida de la certificación en calidad basados en la NTC ISO 9001</t>
  </si>
  <si>
    <t>Listado maestro de documentos</t>
  </si>
  <si>
    <t>Servicios de salud prestados que no cumplen requisitos de habilitación</t>
  </si>
  <si>
    <t>Monitoreo al cumplimiento de las condiciones de habilitación</t>
  </si>
  <si>
    <t>Código:</t>
  </si>
  <si>
    <t xml:space="preserve">HOSPITAL ROBERTO QUINTERO VILLA ESE MONTENEGRO                                                                                                                                                                                                                                                                                                                                                                                             MAPA DE RIESGOS INSTITUCIONAL                                </t>
  </si>
  <si>
    <t xml:space="preserve">Fecha: </t>
  </si>
  <si>
    <t xml:space="preserve">Versión: </t>
  </si>
  <si>
    <t>JURÍDICO</t>
  </si>
  <si>
    <t>TALENTO HUMANO Y NÓMINA</t>
  </si>
  <si>
    <t>SEGURIDAD Y SALUD EN EL TRABAJO</t>
  </si>
  <si>
    <t>GESTIÓN DOCUMENTAL</t>
  </si>
  <si>
    <t>CARTERA</t>
  </si>
  <si>
    <t>Falta de seguimiento al cumplimiento de requisitos, limitación de recursos financieros para el sostenimiento de condiciones de habilitación,  falta de  articulacion de los procesos</t>
  </si>
  <si>
    <t>Autoevaluación del SUH, formulación  y seguimiento de plan de sostenimiento con asignación de recursos, Seguimiento a Programa de seguridad del paciente y Pamec, analisis comportamiento de indicadores de calidad</t>
  </si>
  <si>
    <t>Responsable Calidad</t>
  </si>
  <si>
    <t xml:space="preserve">Lista de chequeo autoevaluación habilitación, plan de sostenimiento de condiciones de habilitación, indicadores de calidad, </t>
  </si>
  <si>
    <t>Sistema documental sin control, no compromiso de personal dentro del proceso, falta de experiencia y conocimiento del SOGC</t>
  </si>
  <si>
    <t>Capacitar al personal permanentemente frente a la gestión documental, actualizacion documental  según el listado maestro de documentos</t>
  </si>
  <si>
    <t>Certificación de calidad vigente</t>
  </si>
  <si>
    <t>Certificación de Calidad otorgada no renovada por incumplimiento de requisitos</t>
  </si>
  <si>
    <t>Falta de compromiso del cliente interno con el sostenimiento del Sistema</t>
  </si>
  <si>
    <t xml:space="preserve">Sistema documental adoptado por la entidad desactualizado </t>
  </si>
  <si>
    <t>Informes de auditoria interno, seguimiento acciones correctivas, revisión por la dirección, auditorias del ente certificador</t>
  </si>
  <si>
    <t>Auditorias Internas, Seguimiento al SGC, analizar resultado de indicadores</t>
  </si>
  <si>
    <t>Responsable Calidad, Gerente, Comité de Gestión y Desempeño</t>
  </si>
  <si>
    <t>Auditorias Internas al SGC</t>
  </si>
  <si>
    <t>Programas de Induccion y reinduccion realizados de manera inoportuna e insuficiente</t>
  </si>
  <si>
    <t xml:space="preserve">Los servidores publicos sin conocimientos adecuados sobre la insititucion y sobre sus funciones.                                    - Hallazgo administrativos de entes de control </t>
  </si>
  <si>
    <t>Realizar proceso de induccion a todo el personal que ingresa da la entidad de manera oportuna                              -Realizar el proceso de reinduccion al inicio de cada vigencia.</t>
  </si>
  <si>
    <t>Realizar seguimiento a los ingresos de personal a la entidad verificando que hayan recibido proceso de inducción      - Cumplir con el cronograma de induccion y reinduccion.</t>
  </si>
  <si>
    <t xml:space="preserve">Registro de personal que ingresa a la entidad independiente del tipo de vinculación                                 -Actas de induccion y reinduccion.                                  </t>
  </si>
  <si>
    <t xml:space="preserve"> Hallazgos de entes de control.                                      </t>
  </si>
  <si>
    <t xml:space="preserve">Realizar revisiones periodicas del contenido de las hoja de vida.                        </t>
  </si>
  <si>
    <t xml:space="preserve">Reporte de novedades de nómina extemporaneo.                     </t>
  </si>
  <si>
    <t xml:space="preserve">Formato de descripcion del procedimiento de  nomina.                                              -Novedades de no archivadas.                                  </t>
  </si>
  <si>
    <t xml:space="preserve"># de nominas generadas con errores / # total de nominas pagadas. </t>
  </si>
  <si>
    <t xml:space="preserve">No prestacion de servicios medicos                     -Morosidad en el pago.                            -No pago por parte de las EPS las incapacidades </t>
  </si>
  <si>
    <t># requisitos del SGSST cumplidos / total de requisitos aplicables</t>
  </si>
  <si>
    <t>Sanciones administrativas y economicas por parte de entes de control</t>
  </si>
  <si>
    <t>Informe auditoria interna, indicadores monitoreados</t>
  </si>
  <si>
    <t xml:space="preserve">Auditoria Interna al SGSST                                           Monitoreo de indicadores </t>
  </si>
  <si>
    <t>Debilidades en el segumiento al SGSST</t>
  </si>
  <si>
    <t>Lider de Gestión Documental</t>
  </si>
  <si>
    <t>Dar de baja a documentos sin cumplimiento de tabla de retencion, falta de control en la custodia del archivo</t>
  </si>
  <si>
    <t>Desactualización de tablas de retención documental, desconocimiento del personal sobre normas de archivo</t>
  </si>
  <si>
    <t>Consultor Tablas de Retención Documental</t>
  </si>
  <si>
    <t># de procesos con TRD /# total de procesos de la entidad</t>
  </si>
  <si>
    <t>Actas de aprobación de las TRD por el Comité de Archivo y Consejo Departamental de Archivo</t>
  </si>
  <si>
    <t>Archivo de gestión y central implementado con tablas de retención documental desactualizadas</t>
  </si>
  <si>
    <t>Dificultades para encontrar la documentación de la entidad, imposibilidad para dar respuesta a solicitudes de información de usuarios y ciudadanos</t>
  </si>
  <si>
    <t xml:space="preserve">Actualización e implementación de tablas de retención documental, Elaboración de tablas de valoración documental, transferencias de documentos al archivo central, organización de archivo de acuerdo a TRD </t>
  </si>
  <si>
    <t>Implementación del Programa de Gestión Documental y Plan Institucional de Archivos</t>
  </si>
  <si>
    <t xml:space="preserve"> Condiciones del almacenamiento y conservacion inadecuadas</t>
  </si>
  <si>
    <t xml:space="preserve">Documentos del archivo central almacenados con señales de deterioro </t>
  </si>
  <si>
    <t>Verificación de instalaciones, monitoreo de condiciones ambientales, mantenimiento periodico de la infraestructura y estanterías</t>
  </si>
  <si>
    <t># de reportes atendidos  /# total de reportes realizados</t>
  </si>
  <si>
    <t xml:space="preserve">Desempeño deficiente del responsable del subproceso de cartera  </t>
  </si>
  <si>
    <t xml:space="preserve">Cartera registrada no concilida con ERP </t>
  </si>
  <si>
    <t xml:space="preserve">Pagos de ERP identificados de manera errada </t>
  </si>
  <si>
    <t>Pagos sin identificar por falta de soportes por parte de la ERP</t>
  </si>
  <si>
    <t xml:space="preserve">Falta de conciliación entre los procesos de glosas y cartera </t>
  </si>
  <si>
    <t xml:space="preserve">Notas credito elaboradas de manera errónea </t>
  </si>
  <si>
    <t xml:space="preserve">saldos reportados condiferencias entre los procesos </t>
  </si>
  <si>
    <t>Cartera con incremento  en los saldos y pocas posibilidades de recaudo</t>
  </si>
  <si>
    <t xml:space="preserve">REALIZAR DEPURACION DE CARTERA DE FORMA PERIODICA CON LAS ERP </t>
  </si>
  <si>
    <t xml:space="preserve">CONCILIACION DE NOTAS CREDITO ENTRE GLOSAS Y CARTERA </t>
  </si>
  <si>
    <t>Circularizacion de cartera con ERP</t>
  </si>
  <si>
    <t xml:space="preserve">Responsable subproceso de cartera </t>
  </si>
  <si>
    <t>acta de conciliacion</t>
  </si>
  <si>
    <t xml:space="preserve">Solicitud de soportes por medio de correo elctronico y medio físico </t>
  </si>
  <si>
    <t>1. CORREO ELECTRÓNICO   2. OFICIO</t>
  </si>
  <si>
    <t>Cruce de informacion de acuerdo glosas y devoluciones aceptadas</t>
  </si>
  <si>
    <t xml:space="preserve">Responsables de subprocesos glosas y cartera </t>
  </si>
  <si>
    <t xml:space="preserve">Inventario existente con diferencias entre movimientos fisicos con el sistema </t>
  </si>
  <si>
    <t xml:space="preserve">No comunicación de hechos economicos al area contable </t>
  </si>
  <si>
    <t>Hechos economicos sin reconocimiento</t>
  </si>
  <si>
    <t>no reflejo de realidad economica</t>
  </si>
  <si>
    <t>No cuantificacion de los cambios financieros en la información</t>
  </si>
  <si>
    <t>Hechos economicos reconocidos sin actualización</t>
  </si>
  <si>
    <t>No representación fiel de información financiera</t>
  </si>
  <si>
    <t>Desconocimiento de obligación de publicación</t>
  </si>
  <si>
    <t>Incumplimiento normatividad de transparencia y acceso a la información</t>
  </si>
  <si>
    <t>Adherencia al procedimiento de causación de cuentas y conciliación entre areas</t>
  </si>
  <si>
    <t xml:space="preserve">Analisis para actualización de valores monetarios </t>
  </si>
  <si>
    <t>Cumplimiento en normativa expedida por Contaduria General de la Nación en materia de publicación</t>
  </si>
  <si>
    <t>1. Conciliacion mensual entre areas.
2. adherencia a procedimiento de causación</t>
  </si>
  <si>
    <t>mensual</t>
  </si>
  <si>
    <t>Responsable de subprocesso financieros</t>
  </si>
  <si>
    <t>Relacion de conciliaciones realizadas entre areas</t>
  </si>
  <si>
    <t>Responsable Subproceso contable y procesos implicados</t>
  </si>
  <si>
    <t>Valoración de activos y actualización de valores monetarios de pasivos</t>
  </si>
  <si>
    <t>Responsable Subproceso contable</t>
  </si>
  <si>
    <t>Estados financieros publicados</t>
  </si>
  <si>
    <t>Reducir</t>
  </si>
  <si>
    <t>SGSST implementado de manera deficiente</t>
  </si>
  <si>
    <t>Evaluacion inicial  implementación del plan de trabajo anual. Evidencia de asignación de recursos. Auditoría interna  anual al SGSST</t>
  </si>
  <si>
    <t>Formato diligencias de ingresosy egresos.                     - Kardex digital              -Acta de arqueo.</t>
  </si>
  <si>
    <t xml:space="preserve">Requisición por áreas. Formato de despacho de almacén. </t>
  </si>
  <si>
    <t>Entrega de suministros a cada uno de las areas sin los debidos soportes (Solicitudes de almacen diligenciados firmados para efectuar dicha entrega</t>
  </si>
  <si>
    <t>Despacho de suministros únicamente con la requisición de pedido   debidamente firmados</t>
  </si>
  <si>
    <t xml:space="preserve">Solicitar al personal que realiza pedidos internos de suministros  la respectiva requisición de pedido y cumplimiento de los respectivos soportes </t>
  </si>
  <si>
    <t># de requisiciones de suministros / # de despachos entregado con soportes</t>
  </si>
  <si>
    <t>Revisiones semestral del inventario físico contrastado con el que arroja el sistema</t>
  </si>
  <si>
    <t>Determinar de acuerdo a las revisiones semestrales las inconsistencias encontradas y realizar los seguimientos necesarios para llegar a valores reales</t>
  </si>
  <si>
    <t>Libro radicador y libro de prestamo.                     - Aplicación de las tablas de retencion documental.                        - Restringir el acceso a personal no autorizado.</t>
  </si>
  <si>
    <t xml:space="preserve">Diligenciar novedades  en el libro radicador y de prestamos.                            - Aprobacion y acta de comité de archivo para la baja de documentos. </t>
  </si>
  <si>
    <t>Perdida de la informacion parcial o total.                              -No disponibilidad de la documentacion al requerirse . Demandas y procesos judiciales</t>
  </si>
  <si>
    <t>Myriam Bejarano Pulido</t>
  </si>
  <si>
    <t>Fomentar una cultura de planeación mediante la gestión de planes, programas y proyectos que permitan apoyar la toma de decisiones estratégicas, el cumplimiento de la misión y  el logro de la visión institucional.</t>
  </si>
  <si>
    <t>Desarrollar los elementos de control que permitan realizar un examen sistemático objetivo e independiente de los procesos, actividades, operaciones y resultados generando como consecuencia aseguramiento y asesoramiento.</t>
  </si>
  <si>
    <t>Plan Anual de Auditorias aprobado por Comité Institucional de Coordinación de Control Interno</t>
  </si>
  <si>
    <t>Informes de ley presentados de manera inoportuna a entes de control</t>
  </si>
  <si>
    <t>Aplicar la normatividad relacionada con el proceso contractual y brindar asesoria a los procesos juridico legales de la ESE</t>
  </si>
  <si>
    <t xml:space="preserve">Diligenciar hoja de ruta acorde con la normatividad vigente                          Aplicación estricta del manual de contratacion en la etapa precontractual con  el  fin de garantizar el lleno de requisitos legales previo a la suscripción del contrato. </t>
  </si>
  <si>
    <t>Procesos contractuales publicados de manera inoportuna en el SECOP y SIA Observa</t>
  </si>
  <si>
    <t xml:space="preserve">Expedición de documentos contractuales en los tiempos establecidos con toda la información precontractual, Publicación de los contratos en las plataformas dentro de los tres días siguientes a su expedición, </t>
  </si>
  <si>
    <t>Direccionar las actividades de seguimiento, medición, análisis y mejora continua del Modelo de Gestión de Calidad, asegurando la conformidad del sistema con la prestacion de los servicios de Salud.</t>
  </si>
  <si>
    <t xml:space="preserve">Contribuir al alcance de las competencias laborales del Talento Humano de la ESE </t>
  </si>
  <si>
    <t>Revisar mensualmente novedades de cada servidor.</t>
  </si>
  <si>
    <t>Reclamaciones por parte de los servidores y entidades inherentes a la nomina, hallazgo de entes de control</t>
  </si>
  <si>
    <t>Nominas elaboradas sin el registro de novedades generadas en el periodo</t>
  </si>
  <si>
    <t>Proteger la seguridad y salud en todos los trabajadores, mediante la mejora continua del Sistema de Gestión de Seguridad y Salud en el Trabajo (SG-SST) en la entidad y dar cumplimiento a la normativa nacional vigente aplicable en materia de riesgos laborales</t>
  </si>
  <si>
    <t xml:space="preserve">Realizar el inventario de los equipos de la entidad Y adquirir las licencias necesarias          </t>
  </si>
  <si>
    <t>Mantener una plataforma informatica que permita la captura, el analisis y la medicion de datos estadisticos que sean insumo para la toma de desiciones gerenciales</t>
  </si>
  <si>
    <t>Establecer criterios claros y concisos para realizar la clasificación, organización y conservación de la documentación producida como resultado de la gestión propia de la entidad, teniendo en cuenta lo establecido en las tablas de retención y de valoración documental.</t>
  </si>
  <si>
    <t xml:space="preserve">Realizar una eficiente gestión en el seguimiento, registro y cobro de cuentas derivadas de la prestación de servicios de salud. </t>
  </si>
  <si>
    <t>1. Realización de actualización de valores monetarios a través de la contratación de un perito</t>
  </si>
  <si>
    <t>Definición de periodicidad en la publicación de la información financiera y seguiento periodico</t>
  </si>
  <si>
    <t>Solicitudes de necesidades desactualizadas y/o insuficientes</t>
  </si>
  <si>
    <t xml:space="preserve"> Presupuesto ineficiente, la no cobertura de las necesidades basicas</t>
  </si>
  <si>
    <t>Solicitud de proyecciones de necesidades certificadas</t>
  </si>
  <si>
    <t>Adjuntar cotizaciones y/o certificados de las necesidades propuestas.</t>
  </si>
  <si>
    <t>cotizaciones y/o certificados de las necesidades propuestas.</t>
  </si>
  <si>
    <t>Desconocimiento y/o falta de adherencia a los procedimientos, informalidad en el proceso de compra y poca interrelacion entre procesos</t>
  </si>
  <si>
    <t>Obligaciones ejecutadas sin disponibilidad presupuestal</t>
  </si>
  <si>
    <t>Inconvenientes legales, hallazgos negativos en auditorias de los entes de control</t>
  </si>
  <si>
    <t xml:space="preserve"> Procedimientos actualizados y socializados, revision de adherencia al procedimiento</t>
  </si>
  <si>
    <t>Publicacion de circulares y politicas financieras en donde se solicite la autorizacion de presupuesto antes de realizar una compra.</t>
  </si>
  <si>
    <t>Circulares</t>
  </si>
  <si>
    <t>Reducir el Riesgo</t>
  </si>
  <si>
    <t>Planear, programar, ejecutar y hacer el seguimiento de los recursos de acuerdo con las disponibilidades de ingresos y los gastos buscando el equilibrio y la sostenibilidad de la institución.</t>
  </si>
  <si>
    <t>Presupuesto proyectado sobre necesidades incorrectas (Supuestos)</t>
  </si>
  <si>
    <t>Registrar y consolidar la informacion contable y financiera</t>
  </si>
  <si>
    <t>Captar y custodiar los recursos financieros, así como cancelar bajo el marco legal todos los pagos que correspondan.</t>
  </si>
  <si>
    <t>Proveer los insumos y elementos necesarios para prestacion oportuna de servicios de Salud.</t>
  </si>
  <si>
    <t xml:space="preserve">Desempeño deficiente de los facturadores y del equipo de salud involucrado en el proceso de atención </t>
  </si>
  <si>
    <t>Servicios de salud prestados sin facturar</t>
  </si>
  <si>
    <t>Imposibilidad de cobrar servicios prestados, Pérdida de recursos financieros para la entidad</t>
  </si>
  <si>
    <t>Ausencia de soportes requeridos por las ERP para reconocimiento de servicios, errores en identificación del responsable de pago y/o del convenio.</t>
  </si>
  <si>
    <t>Facturación elaborada que no cumple requisitos para radicación y pago</t>
  </si>
  <si>
    <t>Demoras en la presentación de cuentas por cobrar</t>
  </si>
  <si>
    <t>Ausencia de lineamientos para liquidación de contratos, Falencias en la revisión de actas de liquidación por  parte de responsables de cartera y facturación</t>
  </si>
  <si>
    <t>Contratos de venta de servicios de salud liquidados con saldos de cartera</t>
  </si>
  <si>
    <t>Pérdida de recursos, sobre-estimación de cartera</t>
  </si>
  <si>
    <t xml:space="preserve">Procedimiento de recepción y respuesta a glosas y devoluciones desactualizado, </t>
  </si>
  <si>
    <t>Glosas y devoluciones recibidas sin registro en el archivo del proceso</t>
  </si>
  <si>
    <t>Deficiencia en la respuesta a glosas, demoras en la radicación de facturas devueltas, cartera sobre-estimada</t>
  </si>
  <si>
    <t xml:space="preserve">Desempeño deficiente del responsable de respuesta a glosas y devoluciones </t>
  </si>
  <si>
    <t>Glosas contestadas de manera extemporánea</t>
  </si>
  <si>
    <t>Aceptación de glosas por parte de la entidad, pérdida de recursos</t>
  </si>
  <si>
    <t>Revisión de cargos sin facturar</t>
  </si>
  <si>
    <t xml:space="preserve">REVISIÓN DIARIA DE LA FACTURACIÓN ELABORADA </t>
  </si>
  <si>
    <t>Establecer lineamientos institucionales para la liquidación de contratos</t>
  </si>
  <si>
    <t>Estandarización del procedimiento de recepción y respuesta a glosas y devoluciones</t>
  </si>
  <si>
    <t>Control de términos de respuesta a glosas</t>
  </si>
  <si>
    <t xml:space="preserve">Reducir </t>
  </si>
  <si>
    <t xml:space="preserve">1. Generar reporte mensual de cargos 2. Realizar seguimiento a cargos y facturas de contado sin factura crédito hasta su cierre               </t>
  </si>
  <si>
    <t>DIARIO Y MENSUAL</t>
  </si>
  <si>
    <t>Auxiliar de facturación responsable de revisión de cargos y Responsable Subproceso de Facturación</t>
  </si>
  <si>
    <t>1. Reporte mensual de cargos                                        2. Registro de seguimiento a cargos</t>
  </si>
  <si>
    <t xml:space="preserve">No. De cargos cerrados / total de cargos reportados en el periodo * 100                   </t>
  </si>
  <si>
    <t>REDUCIR</t>
  </si>
  <si>
    <t>1. Revisión diaria de facturas e identificación de errores.                                      2. Devolución de facturas con errores a facturadores.             3. Seguimiento a la corrección de facturas</t>
  </si>
  <si>
    <t>Auxiliar de facturación responsable de revisión de facturas y Responsable Subproceso de Facturación</t>
  </si>
  <si>
    <t xml:space="preserve">1. Relación de facturas devueltas (excel)                                        2. Relación de facturas anuladas por facturadores (PDF) </t>
  </si>
  <si>
    <t>No. Facturas devueltas al facturador / total de facturas revisadas en el periodo * 100                   No. Facturas corregidas por el facturador / total de facturas devueltas en el periodo * 100</t>
  </si>
  <si>
    <t>1. Documentar procedimiento de liquidación de contratos de venta de servicios. 2. Realizar revisión de estado contratos para identificar posible liquidación. 3. Implementación y adherencia al procedimiento de liquidación de contratos</t>
  </si>
  <si>
    <t>Responsable de Facturación y Cartera</t>
  </si>
  <si>
    <t>1. Procedimiento documentado y socializado. 2. Registro de contratos pendientes por liquidar</t>
  </si>
  <si>
    <t>No. Contratos liquidados/ total de contratos a liquidar * 100</t>
  </si>
  <si>
    <t>1. Actualización del procedimiento de recepción de glosas y devoluciones.                                            2. Implementación del Registro de glosas y devoluciones para su trazabilidad</t>
  </si>
  <si>
    <t>DIARIO</t>
  </si>
  <si>
    <t>Responsable de Glosas y Devoluciones</t>
  </si>
  <si>
    <t>Registro de glosas y devoluciones</t>
  </si>
  <si>
    <t>1. Respuesta a glosas dentro de los términos previstos</t>
  </si>
  <si>
    <t xml:space="preserve">No glosas respondidas dentro de los términos previstos / Total de glosas recibidas *100 </t>
  </si>
  <si>
    <t xml:space="preserve">FACTURACION Y GLOSAS </t>
  </si>
  <si>
    <t xml:space="preserve">MANTENIMIENTO </t>
  </si>
  <si>
    <t>Debilidades en la planificación y mecanismos de supervisión</t>
  </si>
  <si>
    <t>Mantenimiento de la planta física y dotación  programado sin adecuada ejecución</t>
  </si>
  <si>
    <t xml:space="preserve">Deterioro de la planta física y de la dotación hospitalaria, incumplimiento de requisitos de habilitación, Hallazgos de entes de control, procesos sancionatorios administrativos </t>
  </si>
  <si>
    <t>Debilidades en la planificación del presupuestos y mecanismos de seguimiento a la ejecucion</t>
  </si>
  <si>
    <t>Porcentaje de recursos del presupuesto asignados a mantenimiento que no cumple exigencia de Ley</t>
  </si>
  <si>
    <t xml:space="preserve">Incumplimiento en la ejecución del Plan de Mantenimiento Hospitalario, Hallazgos de entes de control, procesos sancionatorios administrativos </t>
  </si>
  <si>
    <t>Seguimiento al cumplimiento del cronograma de mantenimiento</t>
  </si>
  <si>
    <t>Analisis y toma de medidas correctivas a la ejecución de recursos de mantenimiento hospitalario</t>
  </si>
  <si>
    <t>1. Elaboración del cronograma de mantenimiento                                2. Gestión de recursos materiales y humanos, contratación.                                   3. Implementación de registros que evidencien el cumplimiento de actividades          4. Seguimiento al cumplimiento del cronograma                         5. Información a gerencia para toma de decisiones</t>
  </si>
  <si>
    <t>Responsable de Mantenimiento, Gerencia</t>
  </si>
  <si>
    <t>Cronograma de Mantenimiento Hospitalario, Registros de mantenimiento de la planta física y dotación</t>
  </si>
  <si>
    <t xml:space="preserve"># actividades de mantenimiento realizadas / # actividades de mantenimiento programadas </t>
  </si>
  <si>
    <t>1. Asignación en el proyecto de presupuesto al menos el 5% de los recursos de la entidad para mantenimiento.                             2. Realizar seguimiento a la ejecución de recursos a través de los informes de mantenimiento hospitalario.                                       3.Realizar los ajustes pertinentes para el cumplimiento del porcentaje exigido de acuerdo a necesidades de la entidad</t>
  </si>
  <si>
    <t>Responsable de Mantenimiento, Presupuesto, Gerencia</t>
  </si>
  <si>
    <t>Reporte trimestral de mantenimiento hospitalario, actas de reunión</t>
  </si>
  <si>
    <t>% de recursos del presupuesto de la entidad destinado a mantenimiento hospitalario (5%)</t>
  </si>
  <si>
    <t>Beatriz Elena Giraldo M.</t>
  </si>
  <si>
    <t>Jorge Iván Mejía V.</t>
  </si>
  <si>
    <t>Angie Ximena Ovalle</t>
  </si>
  <si>
    <t>Nathalia Ruiz</t>
  </si>
  <si>
    <t>Aldemar Cifuentes</t>
  </si>
  <si>
    <t>Código: 26-005</t>
  </si>
  <si>
    <t>Versión: 04</t>
  </si>
  <si>
    <t>Fecha: 30/11/2018</t>
  </si>
  <si>
    <t>Mantener en óptimo funcionamiento las áreas y equipos biomédicos, garantizando la seguridad del paciente y a su vez fomentar la innovación y el uso de tecnología, cumpliendo con los estándares de calidad fijados por los  Entes de Control y Tecno vigilancia.</t>
  </si>
  <si>
    <t>Facturar de manera adecuada los servicios de salud prestados a los usuarios, minimizando el nivel de glosas y favoreciendo la oportuna y completa  radicación de las cuentas ante los pagadores</t>
  </si>
  <si>
    <t># de contratos con el lleno de requisitos legales /# total de de contratos celebrados</t>
  </si>
  <si>
    <t xml:space="preserve">Rrevision diaria de los procesos para que se cumpla dentro de los terminos legales todos sus procedimientos </t>
  </si>
  <si>
    <t>Procesos Judiciales gestionados por fuera de los terminos legales</t>
  </si>
  <si>
    <t># de procesos judiciales gestionados dentro de los términos de ley / total de procesos judiciales existentes la Institución</t>
  </si>
  <si>
    <t>Total de conciliaciones/total de ERP*100</t>
  </si>
  <si>
    <t>SOLICITUD DE SOPORTES DE PAGO A LAS ERP, PARA VERIFICAR LA INFORMACION DE TERCERO ANTES DE EFECTUR EL PAGO</t>
  </si>
  <si>
    <t>Total de recaudos/Total de consignaciones*100</t>
  </si>
  <si>
    <t>Valor Total glosas aceptadas/Valor Total de notas crédito realizadas*100</t>
  </si>
  <si>
    <t>Registro de glosas y devoluciones actualizado</t>
  </si>
  <si>
    <t xml:space="preserve">Proyecto de acuerdo de presupuesto </t>
  </si>
  <si>
    <t># de cuentas pagadas sin los debidos soportes/# total de cuentas canceladas*100</t>
  </si>
  <si>
    <t># de inconsistencias detectadas mediante verificacion de NIT/# total de pagos realizados*100</t>
  </si>
  <si>
    <t># de transferencias rechazados por saldos no disponibles / # de pagos realizados*100</t>
  </si>
  <si>
    <t>Conciliaciones entre areas realizadas/total conciliaciones*100</t>
  </si>
  <si>
    <t>Contratacion de perito para actualización de valores de los activos fijos</t>
  </si>
  <si>
    <t># de revisiones realizadas al inventario físico/# total de revisiones programadas al inventario físico (Consumo)</t>
  </si>
  <si>
    <t xml:space="preserve"> Procedimiento de manejo de activos fijos no documentado</t>
  </si>
  <si>
    <t xml:space="preserve">Inventario de activos fijos existente con diferencias entre movimientos fisicos con el sistema </t>
  </si>
  <si>
    <t>Pérdida de activos fijos de la entidad.</t>
  </si>
  <si>
    <t xml:space="preserve">Documentar, socializar e implementar el procedimiento de manejo de activos fijos.               Realizar conteo físico de inventarios de activos fijos y comparar con el registrado en el sistema de información </t>
  </si>
  <si>
    <t xml:space="preserve">Adecuado mantenimiento preventivo y correctivo de hardware                        </t>
  </si>
  <si>
    <t xml:space="preserve">Elaborar cronograma de mantenimiento preventivo de equipos.                                                                                                                                                         Dar cumplimiento al cronograma de mantenimiento preventivo.  Realizar mantenimiento correctivo según se requiera                                                                      </t>
  </si>
  <si>
    <t xml:space="preserve">Hojas de vida de equipos.   </t>
  </si>
  <si>
    <t xml:space="preserve">Porcentaje de cumplimiento de hojas de vida de equipos                                   </t>
  </si>
  <si>
    <t>SEGUIMIENTO</t>
  </si>
  <si>
    <t>Ausencia de lineamientos para la planeación de auditorias, subjetividad del auditor</t>
  </si>
  <si>
    <t>Acta de Comité Institucional de Control Interno -Plan Anual de Auditorias basado en riesgos</t>
  </si>
  <si>
    <t>Ausencia de lineamientos institucionales para la realización de auditorias internas, personalidad autocrata del auditor</t>
  </si>
  <si>
    <t xml:space="preserve">Adherencia al procedimiento de auditoria interna     </t>
  </si>
  <si>
    <t xml:space="preserve">     Enviar informe
definitivo al área
competente con las
observaciones y
recomendaciones 
propuestas.         Documentación y socialización del Manual de Auditoria Interna</t>
  </si>
  <si>
    <t>Falta de seguimiento al cumplimiento de las acciones de mejora</t>
  </si>
  <si>
    <t>Plan de mejora suscrito con la Contraloría General del Quindío sin el debido cumplimiento</t>
  </si>
  <si>
    <t>Procesos sancionatorios en contra de la entidad</t>
  </si>
  <si>
    <t>Seguimientos periodicos a la ejecución de los planes de mejoramiento suscritos con la CGQ</t>
  </si>
  <si>
    <t xml:space="preserve">Realizar seguimiento al cumplimiento de las acciones de mejoramiento con base en evidencias                           Presentar informes de cumplimiento del plan de mejoramiento a la gerencia </t>
  </si>
  <si>
    <t>Informes de seguimiento a la ejecución de los planes de mejora</t>
  </si>
  <si>
    <t># de actividades cumplidas /# total de actividades programadas</t>
  </si>
  <si>
    <t>Cronograma de rendición de informes elaborado y socializado con lideres de procesos,  Envío oportuno de informes de CI a entes de control</t>
  </si>
  <si>
    <t xml:space="preserve">Control Interno </t>
  </si>
  <si>
    <t>Inconsistencias detectadas cero (0)</t>
  </si>
  <si>
    <t>Transferencias rechazadas por saldos no disponibles cero (0)</t>
  </si>
  <si>
    <t>El porcentaje de mantenimiento del presupuesto definitivo es de 8,1%, el porcentaje de ejecución con respecto a el presupuesto definitivo es del 2,1% y el porcentaje de ejecución con respecto a las obligaciones adquiridas hasta el 30 de junio es de 4,7%.</t>
  </si>
  <si>
    <t xml:space="preserve">mensual </t>
  </si>
  <si>
    <t>libro de radicacion  actualizado</t>
  </si>
  <si>
    <r>
      <t xml:space="preserve">Porcentaje de cumplimiento de actividades de mantenimiento preventivo y correctivo de </t>
    </r>
    <r>
      <rPr>
        <sz val="11"/>
        <color theme="1"/>
        <rFont val="Calibri"/>
        <family val="2"/>
        <scheme val="minor"/>
      </rPr>
      <t>UPS</t>
    </r>
  </si>
  <si>
    <t># colaboradores que  tienen a cargo metas institucionales con asesoría y seguimiento/total de colaboradores que tienen a cargo metas institucionales</t>
  </si>
  <si>
    <t>Deficiencias en la  comunicación de responsablidades, debilidades en el seguimiento y acompañamiento</t>
  </si>
  <si>
    <t xml:space="preserve">Socialización de metas  institucionales </t>
  </si>
  <si>
    <t>Asesoría y acompañamiento a responsables de metas institucionales</t>
  </si>
  <si>
    <t>Falta de autocontrol de los responsables de procesos</t>
  </si>
  <si>
    <t xml:space="preserve"># actividades ejecutadas del plan de sostenimiento/ # total de actividades programadas en el Plan de Sostenimiento, habilitacion </t>
  </si>
  <si>
    <t>Listado maestro de documentos actualizado</t>
  </si>
  <si>
    <t>Realizar los pagos con base en los saldos disponibles en los libros de bancos y en la plataforma empresarial.</t>
  </si>
  <si>
    <t>Estados Financieros generados sin publicación oportuna en la pagina web</t>
  </si>
  <si>
    <t>DIRECCIONAMIENTO ESTRATEGICO Y PLANEACIÓN</t>
  </si>
  <si>
    <t>Luz Emilia Villegas Londoño</t>
  </si>
  <si>
    <t>Liseth Triviño</t>
  </si>
  <si>
    <t>Laura Arias</t>
  </si>
  <si>
    <t xml:space="preserve"> v                                                                                                                                                                                                                                                                                                                                                                                                                                                                                                                                                                                                                                                                                                                                                                                                                                                                                                                                                                                                                                                                                                                                            </t>
  </si>
  <si>
    <t>I SEM 2020</t>
  </si>
  <si>
    <t>II SEM 
2020</t>
  </si>
  <si>
    <t>Todos los informes de auditorias internas y seguimientos fueron socializados con los responsables de procesos (9/9=100%)</t>
  </si>
  <si>
    <t>Seguimiento semestral al cumplimiento de los planes institucionales</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</si>
  <si>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</si>
  <si>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</si>
  <si>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</si>
  <si>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</si>
  <si>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</si>
  <si>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</si>
  <si>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</si>
  <si>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</si>
  <si>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</si>
  <si>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</si>
  <si>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Cód</t>
  </si>
  <si>
    <t xml:space="preserve">Riesgo </t>
  </si>
  <si>
    <t>Descripción del Control</t>
  </si>
  <si>
    <t>15 pts</t>
  </si>
  <si>
    <t>5 pts</t>
  </si>
  <si>
    <t>10 pts</t>
  </si>
  <si>
    <t>30 pts</t>
  </si>
  <si>
    <t>TOTAL</t>
  </si>
  <si>
    <t>Observaciones</t>
  </si>
  <si>
    <t>Si</t>
  </si>
  <si>
    <t>No</t>
  </si>
  <si>
    <t>X</t>
  </si>
  <si>
    <t>*  Sistemas o software que permiten incluir contraseñas de acceso, o con controles de seguimiento a aprobaciones o ejecuciones que se realizan a través de este, generación de reportes o indicadores, sistemas de seguridad con scanner, sistemas de grabación, entre otros.
**  Políticas de operación aplicables, autorizaciones a través de firmas o confirmaciones vía correo electrónico, archivos físicos, consecutivos, listas de chequeo, controles de seguridad con personal especializado, entre otros.</t>
  </si>
  <si>
    <t>Beatriz Elena Giraldo Montes</t>
  </si>
  <si>
    <t xml:space="preserve">Proc </t>
  </si>
  <si>
    <t>PLANEACIÓN</t>
  </si>
  <si>
    <t>Se realizó seguimiento al plan de mejoramiento suscrito con la Contraloría General del Quindío para la vigencia 2019 y se rindió informe en el Comité Interinstitucional de Coordinación de Control Interno del seguimiento.</t>
  </si>
  <si>
    <t>Informes de ley obligatorios presentados de manera inoportuna a entes de control</t>
  </si>
  <si>
    <t>JURÍDICA</t>
  </si>
  <si>
    <t>Se avanzó en el mejoramiento de la etapa precontractual y la aplicación del control desde el proceso juridico en la  verificación de cumplimiento de requisitos legales para la celebración de los contratos.</t>
  </si>
  <si>
    <t xml:space="preserve">Procesos Judiciales adelantados con vencimiento de terminos </t>
  </si>
  <si>
    <t xml:space="preserve">Documentación del SGC adoptado por la entidad desactualizado </t>
  </si>
  <si>
    <t>Certificación de Calidad en ISO 9001 otorgada no renovada por incumplimiento de requisitos</t>
  </si>
  <si>
    <t>TALENTO HUMANO Y NOMINA</t>
  </si>
  <si>
    <t>SEGURIDAD Y SALUD EN ELTRABAJO</t>
  </si>
  <si>
    <t>SISTEMAS</t>
  </si>
  <si>
    <t>}</t>
  </si>
  <si>
    <t>GESTION DOCUMENTAL</t>
  </si>
  <si>
    <t xml:space="preserve">Cartera registrada no conciliada con ERP </t>
  </si>
  <si>
    <t>SOLICITUD DE SOPORTES DE PAGO A LAS ERP, PARA VERIFICAR LA INFORMACION DE TERCERO ANTES DE APLICAR EL PAGO</t>
  </si>
  <si>
    <t>Se evidencian  soportes de todas las conciliaciones mensuales y con los comprobantes de contabilidad se evidencia la causación.</t>
  </si>
  <si>
    <t xml:space="preserve">No publicación de  Estados Financieros </t>
  </si>
  <si>
    <t>Se da cumplimiento a las actividades de control por parte del Subproceso de Presupuesto</t>
  </si>
  <si>
    <t>Se observa efectividad del control y cumplimiento en su periodicidad</t>
  </si>
  <si>
    <t xml:space="preserve">Elaboró y proyectó </t>
  </si>
  <si>
    <t>Recibió y aprobó</t>
  </si>
  <si>
    <t>Se brindó asesoría y acompañamiento a todos los responsables de metas institucionales, en su medición y gestión, de manera sistemática y periódica. El control es manual.</t>
  </si>
  <si>
    <t>Todos los informes finales de auditorias y seguimiento de Control Interno fueron socializados con los responsables de proceso y subproceso auditado y la gerencia.</t>
  </si>
  <si>
    <t>Durante el primer semestre de la vigencia 2020 se enviaron el 100% informes de control interno exigidos por la normatividad vigente a la gerencia y entes de inspección, vigilancia y control.</t>
  </si>
  <si>
    <t>No se ha elaborado plan de sostenimiento.Se encuentra en fase de diagnóstico con la nueva Resolución 3100 de 2029</t>
  </si>
  <si>
    <t>Julian David Muñoz Salgado</t>
  </si>
  <si>
    <t>Ana Milena Giraldo</t>
  </si>
  <si>
    <t>Luz Yohanna Luján</t>
  </si>
  <si>
    <t>Juan Branley Aguirre</t>
  </si>
  <si>
    <t>Claudia Alejandra Gómez Soto</t>
  </si>
  <si>
    <t>Realizar y actualizar constantemente el Cronograma de presentación de respuestas ante los juzgados de acuerdo a las necesidades dela entidad, visitas a juzgados que emiten providencias, consulta de boletin judicial</t>
  </si>
  <si>
    <t xml:space="preserve">Se evidencia contratos con las pólizas exigidas, con documento de aprobación de las mismas por el área jurídica y con ampliación de las mismas cuando así se requiere. </t>
  </si>
  <si>
    <t>Al realizar el seguimiento se evidenció el cumplimiento dentro de los términos previstos en la publicación en la plataforma del SECOP  y SIA Observa de estudios previos, CDP, RP y contrato a cargo de la oficina jurídica. Sin embargo la mayoría de los supervisores no remiten de manera oportuna documentos bajo su cargo como actas de inicio, informes de supervisión, actas de terminación y liquidación, para su debida publicación.</t>
  </si>
  <si>
    <t>Si bien todos los equipos de cómputo cuentan con licencias antivirus vigentes, no se constituye en un control la sola adquisición de las licencias, por lo cual se recomienda rediseñar el control y orientar su gestión hacia una actividad de verificación.</t>
  </si>
  <si>
    <t xml:space="preserve">Realizar el inventario de los equipos de la entidad y adquirir las licencias necesarias          </t>
  </si>
  <si>
    <t>Se actualizaron todas las TRD pero se está a la espera de la aprobación por el Consejo Departamental de Archivo</t>
  </si>
  <si>
    <t>No se ha efectuado contratación</t>
  </si>
  <si>
    <t>Se evidenció la publicación de los estados financieros de 5 de los 6 meses (pendiente publicación del mes de junio)</t>
  </si>
  <si>
    <t xml:space="preserve">Seguimiento a las Obligaciones ejecutadas </t>
  </si>
  <si>
    <t>Se evidencia que todas las obligaciones contraídas por el hospital cuentan con su respectiva  disponibilidad presupuestal, sin embargo se solicita revisar y ajustar la actividad de control a lo establecido en la nueva metodología.</t>
  </si>
  <si>
    <t>Los token se mantienen en la caja fuerte, por cuanto no requieren acciones de control sistemáticas, se sugiere revisar la pertinencia de éste riesgo identificado como de gestión o si se trata de un riesgo de corrupción.</t>
  </si>
  <si>
    <t>Se cuenta con una lista de verificación de soportes de contabilidad más no incluyen todos los aspectos que requieren revisión al momento de proceder al pago, es necesario realizar ajuste al registro y actividad de control.</t>
  </si>
  <si>
    <t>Se ha participado en el 100% de las mesas de conciliación con las ERP y se lleva el registro correspondiente, se realiza seguimiento a los compromisos establecidos en las mesas de conciliación y se reportan incumplimientos a la Circular 030, sin embargo se depende de la disponibilidad de las EAPB para conciliar  la cartera  y la celeridad con la cual se aclaren las cuentas.</t>
  </si>
  <si>
    <t>Se documentó procedimiento de aplicación de pagos. Se cuenta con  una persona de apoyo al Subproceso de Cartera en identificación de pagos, para la aplicación de los controles respectivos, conservando evidencia de los mismos.</t>
  </si>
  <si>
    <t xml:space="preserve">Se documentó procedimiento de glosas y devoluciones, se lleva registro de glosas y devoluciones recibidas y su respuesta. </t>
  </si>
  <si>
    <t>Pendiente realizar ajustes de acuerdo a novedades registradas en inventarios anteriores. Debido a la pandemia por Covid-19 no se dio cumplimiento a la periodicidad del control.</t>
  </si>
  <si>
    <t xml:space="preserve">No se han ejecutado las acciones de control establecidas como inducción y reinducción </t>
  </si>
  <si>
    <t xml:space="preserve">   - Registro mensual de las novedades del personal.</t>
  </si>
  <si>
    <t xml:space="preserve">Registro mensual de las novedades del personal en la nómina frente a la seguridad social.                                                              </t>
  </si>
  <si>
    <t xml:space="preserve"> -Novedades archivadas.                                     </t>
  </si>
  <si>
    <t>No se ejecuta acciòn de control</t>
  </si>
  <si>
    <t>Registro mensual de las novedades del personal.</t>
  </si>
  <si>
    <r>
      <t xml:space="preserve">Se adquirieron 55 licencias de CNT, 20 de Work Manager, 40 de Office y 78 de windows 7 pro. Las acciones programadas no se constituyen en actividades de control sistemáticas, </t>
    </r>
    <r>
      <rPr>
        <b/>
        <sz val="11"/>
        <rFont val="Calibri"/>
        <family val="2"/>
        <scheme val="minor"/>
      </rPr>
      <t>se recomienda revaluar el riesgo o rediseñar el control.</t>
    </r>
  </si>
  <si>
    <t xml:space="preserve">Las acciones programadas no se constituyen en actividades de control sistemáticas, por lo cual se recomienda rediseñar el control y orientar su gestión hacia la efectividad. 
No todos los controles cuentan con evidencias de ejecución.
</t>
  </si>
  <si>
    <t xml:space="preserve">No se evidencia adherencia completa al control en cuanto al manejo del libro radicador, ya que se realiza préstamo de documentos sin realizar el respectivo registro. </t>
  </si>
  <si>
    <t>ORIGINAL FIRMADO</t>
  </si>
  <si>
    <t>Se tiene archivo de novedades.</t>
  </si>
  <si>
    <t>Estados financieros publicados en pagina web de la ESE de manera mensual/Total de publicaciones de los estados financieros*100</t>
  </si>
  <si>
    <t>corregir indicador que sea total conciliaciones/total circularizaciones</t>
  </si>
  <si>
    <t>Todos los informes de auditorias internas y seguimientos fueron socializados con los responsables de procesos (18/18=100%)</t>
  </si>
  <si>
    <t xml:space="preserve">Se realizaron ajustes al Plan Anual de Auditorias Internas de la vigencia  2020, incluyendo auditorias Covid-19 con aprobación del Comité Institucional de Coordinación de Control Interno </t>
  </si>
  <si>
    <t xml:space="preserve">Se formuló y presentó Plan Anual de Auditorias Internas basado en riesgos de la vigencia  2020, el cual fue aprobado por el Comité Institucional de Coordinación de Control Interno </t>
  </si>
  <si>
    <t>Aun se evidencian historias laborales en desorden, con documentos sin archivar y documentación faltante (Resultado Indicador: 85%)</t>
  </si>
  <si>
    <t>Fecha de Seguimiento:  
26 /01/ 2021</t>
  </si>
  <si>
    <t>Se evidencia el cumplimiento de los lineamientos técnicos de los diferentes planes institucionales formulados . El control es manual.</t>
  </si>
  <si>
    <t>Durante la vigencia 2020 se realizó seguimiento trimestral al cumplimiento de los planes de acción por procesos y en los meses de febrero y marzo se realizó evaluación anual del cumplimiento del Plan de Desarrollo Institucional y del Plan de Gestión Gerencial. Para la presente vigencia debido al inicio de periodo gerencial se formuló un nuevo plan de gestión gerencial y  un nuevo plan de desarrollo institucional para el periodo 2020-2024, para lo cual se armonizaron los planes de acciòn del ultimo trimestre del año.</t>
  </si>
  <si>
    <t>Se presentó y aprobó plan anual de auditorias de control interno con base en riesgos, siguiendo la metodología establecida por el DAFP,  el cual fue aprobado por el Comité Institucional de Coordinación de Control Interno y ajustado de acuerdo a las directrices del CIRCULAR EXTERNA 100-10 DE 2020 para la contrataciòn covid-19, al cual se le dio cumplimiento durante el año.</t>
  </si>
  <si>
    <t xml:space="preserve">     Enviar informe definitivo al área
competente con las observaciones y
recomendaciones propuestas.                             </t>
  </si>
  <si>
    <r>
      <t xml:space="preserve">Desde la oficina jurídica se realiza revisión a las respuestas proyectadas por los responsables de procesos, más no se efectuó el seguimiento a los tiempos de respuesta, por lo cual se asignó la responsabilidad del seguimiento a la responsable de la ventanilla única y automatizar el control a través del Work Manager  (software de gestión documental), sin embargo no se dispone del numero total de derechos de petición recibidos y con respuesta oportuna. </t>
    </r>
    <r>
      <rPr>
        <b/>
        <sz val="11"/>
        <color theme="1"/>
        <rFont val="Calibri"/>
        <family val="2"/>
        <scheme val="minor"/>
      </rPr>
      <t>Dicho riesgo será incluido a partir del del año 2021 en el mapa de riesgos del proceso de gestión documental.</t>
    </r>
  </si>
  <si>
    <t>Se actualizó instrumento de seguimiento a procesos judiciales por parte de la abogada de defensa judicial, el cual es un instrumento efectivo si se alimenta permanentemente.</t>
  </si>
  <si>
    <t>Durante el segundo trimestre de la vigencia 2020 se dio inicio a la autoevaluación con la nueva de habilitación (Resolución 3100 de 2019) se formulò y ejecutò el plan de sostenimiento.</t>
  </si>
  <si>
    <t>Se realizó actualización periodica de la documentación del SGC.</t>
  </si>
  <si>
    <t>Para la vigencia 2020 se dio cumplimiento al cronograma de auditorias internas al SGC, y se recibio la  visita de auditoria externa del ICONTEC ISO 9001:2015, con renovaciòn del certificado.</t>
  </si>
  <si>
    <t>Se evidencias debilidades en los procesos de inducciòn, se debe fortalecer la coordinación y comunicación entre empresa de empleos temporales y Hospital, y estandarizar el proceso.</t>
  </si>
  <si>
    <t>Se ordenaron historias laborales y se archivaron documentos, mas se evidencian documentos  faltantes de vigencias anteriores</t>
  </si>
  <si>
    <t>Se lleva registro de novedades de nómina, se realiza revisión de la nomina por parte de contabilidad. Mas no se ha documentado el procedimiento en su totalidad</t>
  </si>
  <si>
    <t>Durante la vigencia 2020 el 91% de los requisitos del SGSST se encuentran cumplidos. Se realiza auditoria interna al Sistema, para evaluar adherencia y efectividad del control.</t>
  </si>
  <si>
    <t xml:space="preserve">
Durante la vigencia 2020 se realizó mantenimiento  70 equipos de cómputo, sin embargo se realizaron observaciones a la oportunidad de los mismos.</t>
  </si>
  <si>
    <t>En la vigencia 2019 se actualizaron las tablas de retención documental y se enviaron para su aprobación al Consejo Departamental de Archivos, al iniciar la vigencia 2020, por lo cual se está a la espera de su aprobación.</t>
  </si>
  <si>
    <t>Se debe rediseñar la acción de control orientada hacia la verificación, incrementando su periodicidad e iniciar monitoreo de condiciones ambientales que permitan la adecuada conservación de los documentos, para lo cual se debe adquiriò termohigrómetro.</t>
  </si>
  <si>
    <t>El control se realiza mensual, se evidencia acta de reunión en la cual se concilia la información, y se firma por los responsables de cartera y glosas.</t>
  </si>
  <si>
    <t>La entidad no ha contratado los servicios de un perito para realizar la valuación de los bienes de la entidad y determinar el estado en que se encuentran para su debida actualización en el módulo contable. Se recomienda rediseñar el control ya que no es una actividad sistemática y de verificación periódica.</t>
  </si>
  <si>
    <t>Si bien el riesgo no se materializó durante la vigencia 2020, no se lleva registro de las actividades de control de manera que evidencie su ejecución.</t>
  </si>
  <si>
    <t>Durante la vigencia 2020  no hubo transferencias rechazadas por saldos no disponibles, sin embargo el control no se  encuentra documentado.</t>
  </si>
  <si>
    <t>Se puede evidenciar la efectividad de las acciones de control al riesgo identificado, al comparar el valor reportado en servicios prestados sin facturar “cargos abiertos” correspondiente al primer semestre del año y segundo semestre del año. Se debe definir el nivel de aceptación del riesgo.</t>
  </si>
  <si>
    <t>Si bien el control es efectivo y se aplica a la totalidad de las facturas de evento, es un control correctivo, manual y a cargo de una sola persona, por lo cual debe enfatizarse en el autocontrol a cargo del facturador, con miras a obtener una mayor efectividad. Se debe incluir dentro del mapa de riesgos de facturación la factura electrónica que no cumple requisitos legales y RIPS que no cumplen estructura y contenido en validación, con sus respectivas acciones de control, dado que, si bien están relacionados con el riesgo principal, tienen acciones de control diferentes y específicas. Se debe definir el nivel de aceptación del riesgo.</t>
  </si>
  <si>
    <t>Se viene dando cumplimiento a las acciones de control. El indicador establecido para el riesgo identificado no mide la efectividad del control, ya que es general para todos los contratos que requieren liquidación, sin ser específico para los contratos que tienen saldos de cartera..</t>
  </si>
  <si>
    <t>Se evidencia efectividad del control y registro que permite trazabilidad de la glosa, para la causa identificado, sin embargo, se identificaron otras causas que afectan los tiempos de respuesta que son la no disponibilidad del servicio de mensajería y la eliminación de información de los correos electrónicos sin copias de respaldo los cuales contiene soportes de las cuentas de cobro presentadas con antelación</t>
  </si>
  <si>
    <t xml:space="preserve">Se logrò el saneamiento de inventarios de almacen por errores humanos, realizando el descargue de los elementos consumidos y eliminando las bodegas que ya no se manejaban desde vigencias anteriores. </t>
  </si>
  <si>
    <t>El porcentaje de mantenimiento del presupuesto definitivo finalizo en un 5% para la vigencia 2020, el porcentaje de ejecucion con respecto al presupuesto definitivo fue del 4.7% y el porcentaje de ejecuciòn con respecto a las obligaciones adquiridas hasta el 31 de diciembre fue del 4.9%</t>
  </si>
  <si>
    <t>Se cuenta con plan de mantemiento hospitalario y plan de mantenimiento preventivo de equipos, se realiza seguimiento y reporte de informes trimestrales a la Secretaría de Salud Departamental; se debe mejorar las supervisiones de los contratos de servicios de mantenimiento, con el fin de velar por el cumplimiento en su periodicidad.</t>
  </si>
  <si>
    <t>Se evidencia adherencia al control y efectividad del mismo, ya que se cumple el porcentaje de recursos del prespuesto destinados para el mantenimiento hospitalario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</si>
</sst>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82"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sz val="18"/>
      <color rgb="FFFFFFFF"/>
      <name val="Calibri"/>
      <family val="2"/>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b/>
      <i/>
      <sz val="12"/>
      <name val="Arial"/>
      <family val="2"/>
    </font>
    <font>
      <sz val="11"/>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b/>
      <sz val="11"/>
      <name val="Calibri"/>
      <family val="2"/>
      <scheme val="minor"/>
    </font>
    <font>
      <b/>
      <sz val="11"/>
      <name val="Arial"/>
      <family val="2"/>
    </font>
    <font>
      <sz val="11"/>
      <name val="Arial"/>
      <family val="2"/>
    </font>
    <font>
      <b/>
      <sz val="16"/>
      <color theme="2" tint="-0.89999084444715716"/>
      <name val="Arial"/>
      <family val="2"/>
    </font>
    <font>
      <sz val="11"/>
      <color theme="1"/>
      <name val="Arial"/>
      <family val="2"/>
    </font>
    <font>
      <b/>
      <sz val="12"/>
      <color theme="1"/>
      <name val="Arial"/>
      <family val="2"/>
    </font>
    <font>
      <b/>
      <sz val="16"/>
      <color theme="1"/>
      <name val="Arial"/>
      <family val="2"/>
    </font>
    <font>
      <b/>
      <sz val="11"/>
      <color theme="1"/>
      <name val="Arial"/>
      <family val="2"/>
    </font>
    <font>
      <b/>
      <sz val="10"/>
      <color theme="1"/>
      <name val="Arial"/>
      <family val="2"/>
    </font>
    <font>
      <sz val="12"/>
      <color theme="1"/>
      <name val="Arial"/>
      <family val="2"/>
    </font>
    <font>
      <sz val="14"/>
      <color theme="1"/>
      <name val="Arial"/>
      <family val="2"/>
    </font>
    <font>
      <sz val="16"/>
      <color theme="1"/>
      <name val="Arial"/>
      <family val="2"/>
    </font>
    <font>
      <i/>
      <sz val="11"/>
      <color theme="1"/>
      <name val="Arial"/>
      <family val="2"/>
    </font>
    <font>
      <i/>
      <sz val="14"/>
      <color theme="1"/>
      <name val="Arial"/>
      <family val="2"/>
    </font>
    <font>
      <sz val="9"/>
      <color theme="1"/>
      <name val="Arial"/>
      <family val="2"/>
    </font>
    <font>
      <b/>
      <sz val="9"/>
      <color theme="1"/>
      <name val="Arial"/>
      <family val="2"/>
    </font>
    <font>
      <sz val="11"/>
      <name val="Tahoma"/>
      <family val="2"/>
    </font>
    <font>
      <sz val="10"/>
      <name val="Calibri"/>
      <family val="2"/>
    </font>
    <font>
      <sz val="10"/>
      <color theme="1"/>
      <name val="Calibri"/>
      <family val="2"/>
    </font>
    <font>
      <b/>
      <sz val="10"/>
      <color theme="2" tint="-0.89999084444715716"/>
      <name val="Arial"/>
      <family val="2"/>
    </font>
    <font>
      <b/>
      <sz val="12"/>
      <name val="Calibri"/>
      <family val="2"/>
      <scheme val="minor"/>
    </font>
    <font>
      <sz val="10"/>
      <name val="Calibri"/>
      <family val="2"/>
      <scheme val="minor"/>
    </font>
    <font>
      <b/>
      <sz val="18"/>
      <name val="Calibri"/>
      <family val="2"/>
      <scheme val="minor"/>
    </font>
    <font>
      <sz val="10"/>
      <color theme="1"/>
      <name val="Arial Narrow"/>
      <family val="2"/>
    </font>
    <font>
      <b/>
      <sz val="10"/>
      <name val="Calibri"/>
      <family val="2"/>
      <scheme val="minor"/>
    </font>
    <font>
      <b/>
      <sz val="10"/>
      <color theme="1"/>
      <name val="Arial Narrow"/>
      <family val="2"/>
    </font>
    <font>
      <sz val="8"/>
      <name val="Calibri"/>
      <family val="2"/>
      <scheme val="minor"/>
    </font>
    <font>
      <b/>
      <sz val="8"/>
      <name val="Calibri"/>
      <family val="2"/>
      <scheme val="minor"/>
    </font>
    <font>
      <sz val="9"/>
      <name val="Calibri"/>
      <family val="2"/>
      <scheme val="minor"/>
    </font>
    <font>
      <u/>
      <sz val="11"/>
      <color theme="1"/>
      <name val="Calibri"/>
      <family val="2"/>
      <scheme val="minor"/>
    </font>
    <font>
      <b/>
      <sz val="9"/>
      <color rgb="FF000000"/>
      <name val="Tahoma"/>
      <family val="2"/>
    </font>
    <font>
      <sz val="10"/>
      <color indexed="8"/>
      <name val="Arial"/>
      <family val="2"/>
    </font>
    <font>
      <sz val="9"/>
      <color theme="1"/>
      <name val="Helvetica"/>
      <family val="2"/>
    </font>
    <font>
      <sz val="11"/>
      <color theme="1"/>
      <name val="Helvetica"/>
      <family val="2"/>
    </font>
    <font>
      <sz val="11"/>
      <color theme="1"/>
      <name val="Calibri"/>
      <family val="2"/>
    </font>
    <font>
      <sz val="11"/>
      <name val="Calibri"/>
      <family val="2"/>
    </font>
    <font>
      <sz val="11"/>
      <color rgb="FFFB2539"/>
      <name val="Arial"/>
      <family val="2"/>
    </font>
    <font>
      <sz val="11"/>
      <color rgb="FFFB2539"/>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9" fontId="4" fillId="0" borderId="0" applyFont="0" applyFill="0" applyBorder="0" applyAlignment="0" applyProtection="0"/>
    <xf numFmtId="0" fontId="8" fillId="0" borderId="0"/>
    <xf numFmtId="43" fontId="4" fillId="0" borderId="0" applyFont="0" applyFill="0" applyBorder="0" applyAlignment="0" applyProtection="0"/>
    <xf numFmtId="0" fontId="8" fillId="0" borderId="0"/>
    <xf numFmtId="43" fontId="4" fillId="0" borderId="0" applyFont="0" applyFill="0" applyBorder="0" applyAlignment="0" applyProtection="0"/>
  </cellStyleXfs>
  <cellXfs count="716">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5" fillId="0" borderId="0" xfId="0" applyFont="1" applyFill="1" applyAlignment="1">
      <alignment wrapText="1"/>
    </xf>
    <xf numFmtId="0" fontId="6" fillId="0" borderId="0" xfId="0" applyFont="1" applyFill="1" applyBorder="1" applyAlignment="1">
      <alignment horizontal="center" vertical="center" wrapText="1"/>
    </xf>
    <xf numFmtId="0" fontId="0" fillId="0" borderId="0" xfId="0" applyFill="1" applyBorder="1" applyAlignment="1">
      <alignment vertical="center" wrapText="1"/>
    </xf>
    <xf numFmtId="0" fontId="5" fillId="0" borderId="0" xfId="0" applyFont="1" applyBorder="1" applyAlignment="1">
      <alignment wrapText="1"/>
    </xf>
    <xf numFmtId="0" fontId="5" fillId="0" borderId="0" xfId="0" applyFont="1" applyBorder="1" applyAlignment="1">
      <alignment textRotation="90" wrapText="1"/>
    </xf>
    <xf numFmtId="0" fontId="5" fillId="0" borderId="0" xfId="0" applyFont="1" applyBorder="1" applyAlignment="1">
      <alignment horizontal="left" vertical="center" wrapText="1"/>
    </xf>
    <xf numFmtId="0" fontId="5" fillId="0" borderId="0" xfId="0" applyFont="1" applyBorder="1" applyAlignment="1">
      <alignment horizontal="left" wrapText="1"/>
    </xf>
    <xf numFmtId="0" fontId="5" fillId="0" borderId="0" xfId="0" applyFont="1" applyAlignment="1">
      <alignment textRotation="90"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7" fillId="0" borderId="0" xfId="0" applyFont="1" applyBorder="1" applyAlignment="1">
      <alignment wrapText="1"/>
    </xf>
    <xf numFmtId="0" fontId="7" fillId="0" borderId="0" xfId="0" applyFont="1" applyAlignment="1">
      <alignment wrapText="1"/>
    </xf>
    <xf numFmtId="0" fontId="10" fillId="0" borderId="1" xfId="0" applyFont="1" applyFill="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9" fontId="0" fillId="0" borderId="1" xfId="1" applyFont="1" applyBorder="1" applyAlignment="1" applyProtection="1">
      <alignment horizontal="center" vertical="center" wrapText="1"/>
      <protection locked="0"/>
    </xf>
    <xf numFmtId="0" fontId="10" fillId="0" borderId="1" xfId="0" applyFont="1" applyBorder="1" applyAlignment="1" applyProtection="1">
      <alignment horizontal="center" vertical="center" textRotation="90"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0" xfId="0" applyFont="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2" fillId="0" borderId="1" xfId="0" applyFont="1" applyBorder="1" applyAlignment="1">
      <alignment horizontal="center" vertical="center" textRotation="90" wrapText="1"/>
    </xf>
    <xf numFmtId="0" fontId="1" fillId="0" borderId="1" xfId="0" applyFont="1" applyFill="1" applyBorder="1" applyAlignment="1">
      <alignment horizontal="center" vertical="center" wrapText="1"/>
    </xf>
    <xf numFmtId="0" fontId="13"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Border="1" applyAlignment="1">
      <alignment horizontal="right" vertical="center" wrapText="1"/>
    </xf>
    <xf numFmtId="0" fontId="13" fillId="0" borderId="0" xfId="0" applyFont="1" applyBorder="1" applyAlignment="1">
      <alignment horizontal="center" wrapText="1"/>
    </xf>
    <xf numFmtId="0" fontId="15" fillId="7"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7" borderId="3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1" fillId="0" borderId="28" xfId="0" applyFont="1" applyBorder="1" applyAlignment="1">
      <alignment horizontal="center" vertical="center" textRotation="90" wrapText="1"/>
    </xf>
    <xf numFmtId="0" fontId="2" fillId="0" borderId="2" xfId="0" applyFont="1" applyBorder="1" applyAlignment="1">
      <alignment horizontal="center" vertical="center" wrapText="1"/>
    </xf>
    <xf numFmtId="0" fontId="10" fillId="0" borderId="0" xfId="0" applyFont="1" applyAlignment="1">
      <alignment horizontal="center" vertical="center" wrapText="1"/>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19"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0" xfId="0" applyFont="1" applyAlignment="1">
      <alignment horizontal="center" vertical="center" wrapText="1"/>
    </xf>
    <xf numFmtId="0" fontId="20" fillId="0" borderId="1" xfId="0" applyFont="1" applyBorder="1" applyAlignment="1">
      <alignment vertical="center" wrapText="1"/>
    </xf>
    <xf numFmtId="0" fontId="0" fillId="9" borderId="1" xfId="0" applyFill="1" applyBorder="1" applyAlignment="1">
      <alignment horizontal="center" vertical="center"/>
    </xf>
    <xf numFmtId="0" fontId="0" fillId="9" borderId="32" xfId="0" applyFill="1" applyBorder="1" applyAlignment="1">
      <alignment horizontal="center" vertical="center"/>
    </xf>
    <xf numFmtId="0" fontId="0" fillId="9" borderId="34" xfId="0" applyFill="1" applyBorder="1" applyAlignment="1">
      <alignment horizontal="center" vertical="center"/>
    </xf>
    <xf numFmtId="0" fontId="1" fillId="10" borderId="0" xfId="0" applyFont="1" applyFill="1" applyBorder="1" applyAlignment="1">
      <alignment horizontal="center" vertical="center"/>
    </xf>
    <xf numFmtId="0" fontId="1" fillId="10" borderId="12" xfId="0" applyFont="1" applyFill="1" applyBorder="1" applyAlignment="1">
      <alignment horizontal="center" vertical="center"/>
    </xf>
    <xf numFmtId="0" fontId="0" fillId="10" borderId="1" xfId="0" applyFill="1" applyBorder="1" applyAlignment="1">
      <alignment horizontal="center" vertical="center"/>
    </xf>
    <xf numFmtId="0" fontId="0" fillId="10" borderId="27" xfId="0" applyFill="1" applyBorder="1" applyAlignment="1">
      <alignment horizontal="center" vertical="center"/>
    </xf>
    <xf numFmtId="0" fontId="1" fillId="10" borderId="22" xfId="0" applyFont="1" applyFill="1" applyBorder="1" applyAlignment="1">
      <alignment horizontal="center" vertical="center"/>
    </xf>
    <xf numFmtId="0" fontId="0" fillId="10" borderId="24" xfId="0" applyFill="1" applyBorder="1" applyAlignment="1">
      <alignment horizontal="center" vertical="center"/>
    </xf>
    <xf numFmtId="0" fontId="0" fillId="10" borderId="17" xfId="0" applyFill="1" applyBorder="1" applyAlignment="1">
      <alignment horizontal="center" vertical="center"/>
    </xf>
    <xf numFmtId="0" fontId="0" fillId="11" borderId="11" xfId="0" applyFill="1" applyBorder="1" applyAlignment="1">
      <alignment vertical="center"/>
    </xf>
    <xf numFmtId="0" fontId="0" fillId="11" borderId="18" xfId="0" applyFill="1" applyBorder="1" applyAlignment="1">
      <alignment vertical="center"/>
    </xf>
    <xf numFmtId="0" fontId="0" fillId="11" borderId="19" xfId="0" applyFill="1" applyBorder="1" applyAlignment="1">
      <alignment vertical="center"/>
    </xf>
    <xf numFmtId="0" fontId="0" fillId="11" borderId="13" xfId="0" applyFill="1" applyBorder="1" applyAlignment="1">
      <alignment vertical="center"/>
    </xf>
    <xf numFmtId="0" fontId="0" fillId="11" borderId="20" xfId="0" applyFill="1" applyBorder="1" applyAlignment="1">
      <alignment vertical="center"/>
    </xf>
    <xf numFmtId="0" fontId="9" fillId="8" borderId="8" xfId="0" applyFont="1" applyFill="1" applyBorder="1" applyAlignment="1">
      <alignment vertical="center"/>
    </xf>
    <xf numFmtId="0" fontId="0" fillId="8" borderId="6" xfId="0" applyFill="1" applyBorder="1" applyAlignment="1">
      <alignment vertical="center"/>
    </xf>
    <xf numFmtId="0" fontId="0" fillId="8" borderId="7" xfId="0" applyFill="1" applyBorder="1" applyAlignment="1">
      <alignment vertical="center"/>
    </xf>
    <xf numFmtId="0" fontId="0" fillId="12" borderId="11" xfId="0" applyFill="1" applyBorder="1" applyAlignment="1">
      <alignment horizontal="center" vertical="center"/>
    </xf>
    <xf numFmtId="0" fontId="1" fillId="12" borderId="2" xfId="0" applyFont="1" applyFill="1" applyBorder="1" applyAlignment="1">
      <alignment vertical="center"/>
    </xf>
    <xf numFmtId="0" fontId="0" fillId="12" borderId="12" xfId="0" applyFill="1" applyBorder="1" applyAlignment="1">
      <alignment vertical="center"/>
    </xf>
    <xf numFmtId="0" fontId="1" fillId="12" borderId="25" xfId="0" applyFont="1" applyFill="1" applyBorder="1" applyAlignment="1">
      <alignment vertical="center"/>
    </xf>
    <xf numFmtId="0" fontId="0" fillId="12" borderId="13" xfId="0" applyFill="1" applyBorder="1" applyAlignment="1">
      <alignment horizontal="center" vertical="center"/>
    </xf>
    <xf numFmtId="0" fontId="1" fillId="12" borderId="26" xfId="0" applyFont="1" applyFill="1" applyBorder="1" applyAlignment="1">
      <alignment vertical="center"/>
    </xf>
    <xf numFmtId="0" fontId="0" fillId="12" borderId="14" xfId="0" applyFill="1" applyBorder="1" applyAlignment="1">
      <alignment vertical="center"/>
    </xf>
    <xf numFmtId="0" fontId="0" fillId="13" borderId="27" xfId="0" applyFill="1" applyBorder="1" applyAlignment="1">
      <alignment horizontal="center" vertical="center"/>
    </xf>
    <xf numFmtId="0" fontId="0" fillId="13" borderId="17" xfId="0" applyFill="1" applyBorder="1" applyAlignment="1">
      <alignment horizontal="center" vertical="center"/>
    </xf>
    <xf numFmtId="0" fontId="0" fillId="13" borderId="39" xfId="0" applyFill="1" applyBorder="1" applyAlignment="1">
      <alignment vertical="center" wrapText="1"/>
    </xf>
    <xf numFmtId="0" fontId="0" fillId="13" borderId="27" xfId="0" applyFill="1" applyBorder="1" applyAlignment="1">
      <alignment vertical="center" wrapText="1"/>
    </xf>
    <xf numFmtId="0" fontId="0" fillId="13" borderId="17" xfId="0" applyFill="1" applyBorder="1" applyAlignment="1">
      <alignment vertical="center" wrapText="1"/>
    </xf>
    <xf numFmtId="0" fontId="0" fillId="13" borderId="1" xfId="0" applyFill="1" applyBorder="1" applyAlignment="1">
      <alignment horizontal="center" vertical="center"/>
    </xf>
    <xf numFmtId="0" fontId="0" fillId="13" borderId="24" xfId="0" applyFill="1" applyBorder="1" applyAlignment="1">
      <alignment horizontal="center" vertical="center"/>
    </xf>
    <xf numFmtId="0" fontId="11" fillId="13" borderId="41" xfId="0" applyFont="1" applyFill="1" applyBorder="1" applyAlignment="1">
      <alignment vertical="center"/>
    </xf>
    <xf numFmtId="0" fontId="11" fillId="13" borderId="1" xfId="0" applyFont="1" applyFill="1" applyBorder="1" applyAlignment="1">
      <alignment vertical="center"/>
    </xf>
    <xf numFmtId="0" fontId="11" fillId="13" borderId="24" xfId="0" applyFont="1" applyFill="1" applyBorder="1" applyAlignment="1">
      <alignment vertical="center"/>
    </xf>
    <xf numFmtId="0" fontId="23" fillId="14" borderId="42" xfId="0" applyFont="1" applyFill="1" applyBorder="1" applyAlignment="1">
      <alignment horizontal="right" vertical="center" wrapText="1" indent="1" readingOrder="1"/>
    </xf>
    <xf numFmtId="0" fontId="23" fillId="14" borderId="42" xfId="0" applyFont="1" applyFill="1" applyBorder="1" applyAlignment="1">
      <alignment horizontal="center" vertical="center" wrapText="1" readingOrder="1"/>
    </xf>
    <xf numFmtId="0" fontId="24" fillId="14" borderId="43" xfId="0" applyFont="1" applyFill="1" applyBorder="1" applyAlignment="1">
      <alignment horizontal="center" vertical="center" wrapText="1" readingOrder="1"/>
    </xf>
    <xf numFmtId="0" fontId="26" fillId="14" borderId="43" xfId="0" applyFont="1" applyFill="1" applyBorder="1" applyAlignment="1">
      <alignment horizontal="center" vertical="center" wrapText="1" readingOrder="1"/>
    </xf>
    <xf numFmtId="0" fontId="27" fillId="14" borderId="43" xfId="0" applyFont="1" applyFill="1" applyBorder="1" applyAlignment="1">
      <alignment horizontal="center" vertical="center" wrapText="1" readingOrder="1"/>
    </xf>
    <xf numFmtId="9" fontId="28" fillId="14" borderId="43" xfId="0" applyNumberFormat="1" applyFont="1" applyFill="1" applyBorder="1" applyAlignment="1">
      <alignment horizontal="center" vertical="center" wrapText="1" readingOrder="1"/>
    </xf>
    <xf numFmtId="0" fontId="1" fillId="15" borderId="35" xfId="0" applyFont="1" applyFill="1" applyBorder="1" applyAlignment="1">
      <alignment horizontal="center" vertical="center"/>
    </xf>
    <xf numFmtId="0" fontId="0" fillId="15" borderId="38" xfId="0" applyFill="1" applyBorder="1" applyAlignment="1">
      <alignment vertical="center"/>
    </xf>
    <xf numFmtId="0" fontId="0" fillId="15" borderId="36" xfId="0" applyFill="1" applyBorder="1" applyAlignment="1">
      <alignment vertical="center"/>
    </xf>
    <xf numFmtId="0" fontId="0" fillId="15" borderId="37" xfId="0" applyFill="1" applyBorder="1" applyAlignment="1">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9" fillId="0" borderId="1" xfId="0" applyFont="1" applyBorder="1" applyAlignment="1">
      <alignment horizontal="center" vertical="center" wrapText="1"/>
    </xf>
    <xf numFmtId="0" fontId="2" fillId="0" borderId="41"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29" fillId="0" borderId="27" xfId="0" applyFont="1" applyBorder="1" applyAlignment="1">
      <alignment horizontal="center" vertical="center" wrapText="1"/>
    </xf>
    <xf numFmtId="0" fontId="0" fillId="0" borderId="27" xfId="0" applyBorder="1" applyAlignment="1">
      <alignment horizontal="center" vertical="center" wrapText="1"/>
    </xf>
    <xf numFmtId="0" fontId="1" fillId="0" borderId="24" xfId="0" applyFont="1"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9" xfId="0" applyBorder="1" applyAlignment="1">
      <alignment horizontal="center" vertical="center" wrapText="1"/>
    </xf>
    <xf numFmtId="0" fontId="2" fillId="0" borderId="2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17" xfId="0" applyFont="1" applyBorder="1" applyAlignment="1">
      <alignment horizontal="center" vertical="center" wrapText="1"/>
    </xf>
    <xf numFmtId="0" fontId="0" fillId="3" borderId="1" xfId="0" applyFill="1" applyBorder="1" applyAlignment="1">
      <alignment horizontal="center" vertical="center"/>
    </xf>
    <xf numFmtId="0" fontId="31" fillId="0" borderId="0" xfId="0" applyFont="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2"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18" fillId="0" borderId="0" xfId="0" applyFont="1" applyAlignment="1">
      <alignment vertical="center" wrapText="1"/>
    </xf>
    <xf numFmtId="0" fontId="6" fillId="2" borderId="1" xfId="0" applyFont="1" applyFill="1" applyBorder="1" applyAlignment="1">
      <alignment horizontal="center" vertical="center" wrapText="1"/>
    </xf>
    <xf numFmtId="0" fontId="0" fillId="0" borderId="1" xfId="0" applyFill="1" applyBorder="1" applyAlignment="1" applyProtection="1">
      <alignment vertical="center" wrapText="1"/>
      <protection locked="0"/>
    </xf>
    <xf numFmtId="0" fontId="24" fillId="0" borderId="51" xfId="0" applyFont="1" applyFill="1" applyBorder="1" applyAlignment="1">
      <alignment horizontal="left" vertical="center" wrapText="1" readingOrder="1"/>
    </xf>
    <xf numFmtId="0" fontId="25" fillId="0" borderId="51" xfId="0" applyFont="1" applyFill="1" applyBorder="1" applyAlignment="1">
      <alignment horizontal="center" vertical="center" wrapText="1"/>
    </xf>
    <xf numFmtId="0" fontId="25" fillId="0" borderId="51" xfId="0" applyFont="1" applyFill="1" applyBorder="1" applyAlignment="1">
      <alignment horizontal="center" vertical="center" wrapText="1" readingOrder="1"/>
    </xf>
    <xf numFmtId="0" fontId="24" fillId="0" borderId="50" xfId="0" applyFont="1" applyFill="1" applyBorder="1" applyAlignment="1">
      <alignment horizontal="left" vertical="center" wrapText="1" readingOrder="1"/>
    </xf>
    <xf numFmtId="0" fontId="25" fillId="0" borderId="50" xfId="0" applyFont="1" applyFill="1" applyBorder="1" applyAlignment="1">
      <alignment horizontal="center" vertical="center" wrapText="1"/>
    </xf>
    <xf numFmtId="0" fontId="25" fillId="0" borderId="50" xfId="0" applyFont="1" applyFill="1" applyBorder="1" applyAlignment="1">
      <alignment horizontal="center" vertical="center" wrapText="1" readingOrder="1"/>
    </xf>
    <xf numFmtId="0" fontId="26" fillId="0" borderId="50" xfId="0" applyFont="1" applyFill="1" applyBorder="1" applyAlignment="1">
      <alignment horizontal="center" vertical="center" wrapText="1" readingOrder="1"/>
    </xf>
    <xf numFmtId="9" fontId="25" fillId="0" borderId="50" xfId="0" applyNumberFormat="1" applyFont="1" applyFill="1" applyBorder="1" applyAlignment="1">
      <alignment horizontal="center" vertical="center" wrapText="1" readingOrder="1"/>
    </xf>
    <xf numFmtId="0" fontId="24" fillId="0" borderId="52" xfId="0" applyFont="1" applyFill="1" applyBorder="1" applyAlignment="1">
      <alignment horizontal="left" vertical="center" wrapText="1" readingOrder="1"/>
    </xf>
    <xf numFmtId="0" fontId="25" fillId="0" borderId="52" xfId="0" applyFont="1" applyFill="1" applyBorder="1" applyAlignment="1">
      <alignment horizontal="center" vertical="center" wrapText="1"/>
    </xf>
    <xf numFmtId="0" fontId="25" fillId="0" borderId="52" xfId="0" applyFont="1" applyFill="1" applyBorder="1" applyAlignment="1">
      <alignment horizontal="center" vertical="center" wrapText="1" readingOrder="1"/>
    </xf>
    <xf numFmtId="9" fontId="25" fillId="0" borderId="53" xfId="0" applyNumberFormat="1" applyFont="1" applyFill="1" applyBorder="1" applyAlignment="1">
      <alignment horizontal="center" vertical="center" wrapText="1" readingOrder="1"/>
    </xf>
    <xf numFmtId="0" fontId="10" fillId="0" borderId="0" xfId="0" applyFont="1"/>
    <xf numFmtId="0" fontId="32" fillId="0" borderId="0" xfId="0" applyFont="1" applyAlignment="1">
      <alignment wrapText="1"/>
    </xf>
    <xf numFmtId="0" fontId="32" fillId="0" borderId="0" xfId="0" applyFont="1" applyAlignment="1">
      <alignment horizontal="center" vertical="center" textRotation="90" wrapText="1"/>
    </xf>
    <xf numFmtId="0" fontId="3" fillId="0" borderId="0"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26" xfId="0" applyFont="1" applyBorder="1" applyAlignment="1">
      <alignment horizontal="center" vertical="center" wrapText="1"/>
    </xf>
    <xf numFmtId="9" fontId="1" fillId="3" borderId="26" xfId="1" applyFont="1" applyFill="1" applyBorder="1" applyAlignment="1">
      <alignment horizontal="center" vertical="center" wrapText="1"/>
    </xf>
    <xf numFmtId="0" fontId="1" fillId="0" borderId="26" xfId="0" applyFont="1" applyFill="1" applyBorder="1" applyAlignment="1">
      <alignment horizontal="center" vertical="center" wrapText="1"/>
    </xf>
    <xf numFmtId="9" fontId="0" fillId="0" borderId="20" xfId="0" applyNumberFormat="1" applyBorder="1" applyAlignment="1">
      <alignment horizontal="center" vertical="center" wrapText="1"/>
    </xf>
    <xf numFmtId="0" fontId="1" fillId="0" borderId="0" xfId="0" applyFont="1" applyAlignment="1">
      <alignment horizontal="center" vertical="center" wrapText="1"/>
    </xf>
    <xf numFmtId="0" fontId="34"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2" fillId="2" borderId="1" xfId="0" applyFont="1" applyFill="1" applyBorder="1" applyAlignment="1">
      <alignment horizontal="center" vertical="center" textRotation="90" wrapText="1"/>
    </xf>
    <xf numFmtId="0" fontId="35" fillId="18" borderId="1" xfId="0" applyFont="1" applyFill="1" applyBorder="1" applyAlignment="1">
      <alignment horizontal="center" vertical="center" wrapText="1"/>
    </xf>
    <xf numFmtId="0" fontId="36" fillId="17" borderId="1" xfId="0" applyFont="1" applyFill="1" applyBorder="1" applyAlignment="1">
      <alignment horizontal="center" vertical="center" wrapText="1"/>
    </xf>
    <xf numFmtId="0" fontId="36" fillId="18" borderId="1" xfId="0" applyFont="1" applyFill="1" applyBorder="1" applyAlignment="1">
      <alignment horizontal="center" vertical="center" wrapText="1"/>
    </xf>
    <xf numFmtId="0" fontId="36" fillId="4" borderId="34" xfId="0" applyFont="1" applyFill="1" applyBorder="1" applyAlignment="1">
      <alignment horizontal="center" vertical="center" wrapText="1"/>
    </xf>
    <xf numFmtId="0" fontId="37" fillId="17" borderId="1" xfId="0" applyFont="1" applyFill="1" applyBorder="1" applyAlignment="1">
      <alignment horizontal="center" vertical="center" wrapText="1"/>
    </xf>
    <xf numFmtId="0" fontId="37" fillId="17" borderId="58" xfId="0" applyFont="1" applyFill="1" applyBorder="1" applyAlignment="1">
      <alignment horizontal="center" vertical="center" wrapText="1"/>
    </xf>
    <xf numFmtId="0" fontId="37" fillId="17" borderId="34" xfId="0" applyFont="1" applyFill="1" applyBorder="1" applyAlignment="1">
      <alignment horizontal="center" vertical="center" wrapText="1"/>
    </xf>
    <xf numFmtId="0" fontId="38" fillId="4" borderId="34"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9" fillId="3" borderId="58" xfId="0" applyFont="1" applyFill="1" applyBorder="1" applyAlignment="1">
      <alignment horizontal="center" vertical="center" wrapText="1"/>
    </xf>
    <xf numFmtId="0" fontId="38" fillId="4" borderId="58" xfId="0" applyFont="1" applyFill="1" applyBorder="1" applyAlignment="1">
      <alignment horizontal="center" vertical="center" wrapText="1"/>
    </xf>
    <xf numFmtId="0" fontId="38" fillId="4" borderId="57"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40" fillId="3" borderId="34" xfId="0" applyFont="1" applyFill="1" applyBorder="1" applyAlignment="1">
      <alignment horizontal="center" vertical="center" wrapText="1"/>
    </xf>
    <xf numFmtId="0" fontId="41" fillId="3" borderId="3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5" borderId="1" xfId="0" applyFont="1" applyFill="1" applyBorder="1" applyAlignment="1">
      <alignment horizontal="center" vertical="center" wrapText="1"/>
    </xf>
    <xf numFmtId="0" fontId="12" fillId="15"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24" xfId="0" applyFill="1" applyBorder="1" applyAlignment="1">
      <alignment horizontal="center" vertical="center"/>
    </xf>
    <xf numFmtId="0" fontId="0" fillId="0" borderId="17" xfId="0" applyFill="1" applyBorder="1" applyAlignment="1">
      <alignment horizontal="center" vertical="center"/>
    </xf>
    <xf numFmtId="0" fontId="11" fillId="21" borderId="0" xfId="0" applyFont="1" applyFill="1" applyBorder="1" applyAlignment="1">
      <alignment horizontal="center" vertical="center"/>
    </xf>
    <xf numFmtId="0" fontId="1" fillId="21" borderId="0" xfId="0" applyFont="1" applyFill="1" applyBorder="1" applyAlignment="1">
      <alignment horizontal="center" vertical="center"/>
    </xf>
    <xf numFmtId="0" fontId="11" fillId="15" borderId="0" xfId="0" applyFont="1" applyFill="1" applyBorder="1" applyAlignment="1">
      <alignment horizontal="center" vertical="center"/>
    </xf>
    <xf numFmtId="0" fontId="1" fillId="15" borderId="0" xfId="0" applyFont="1" applyFill="1" applyBorder="1" applyAlignment="1">
      <alignment horizontal="center" vertical="center"/>
    </xf>
    <xf numFmtId="0" fontId="11" fillId="15" borderId="22" xfId="0" applyFont="1" applyFill="1" applyBorder="1" applyAlignment="1">
      <alignment horizontal="center" vertical="center"/>
    </xf>
    <xf numFmtId="0" fontId="1" fillId="15" borderId="22" xfId="0" applyFont="1" applyFill="1" applyBorder="1" applyAlignment="1">
      <alignment horizontal="center" vertical="center"/>
    </xf>
    <xf numFmtId="0" fontId="11" fillId="21" borderId="12" xfId="0" applyFont="1" applyFill="1" applyBorder="1" applyAlignment="1">
      <alignment horizontal="center" vertical="center"/>
    </xf>
    <xf numFmtId="0" fontId="1" fillId="21" borderId="12"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11" fillId="0" borderId="41" xfId="0" applyFont="1" applyFill="1" applyBorder="1" applyAlignment="1">
      <alignment vertical="center"/>
    </xf>
    <xf numFmtId="0" fontId="0" fillId="0" borderId="39" xfId="0" applyFill="1" applyBorder="1" applyAlignment="1">
      <alignment vertical="center" wrapText="1"/>
    </xf>
    <xf numFmtId="0" fontId="11" fillId="0" borderId="1" xfId="0" applyFont="1" applyFill="1" applyBorder="1" applyAlignment="1">
      <alignment vertical="center"/>
    </xf>
    <xf numFmtId="0" fontId="0" fillId="0" borderId="27" xfId="0" applyFill="1" applyBorder="1" applyAlignment="1">
      <alignment vertical="center" wrapText="1"/>
    </xf>
    <xf numFmtId="0" fontId="11" fillId="0" borderId="24" xfId="0" applyFont="1" applyFill="1" applyBorder="1" applyAlignment="1">
      <alignment vertical="center"/>
    </xf>
    <xf numFmtId="0" fontId="0" fillId="0" borderId="17" xfId="0" applyFill="1" applyBorder="1" applyAlignment="1">
      <alignment vertical="center" wrapText="1"/>
    </xf>
    <xf numFmtId="0" fontId="1" fillId="0" borderId="62" xfId="0" applyFont="1" applyFill="1" applyBorder="1" applyAlignment="1">
      <alignment horizontal="center" vertical="center"/>
    </xf>
    <xf numFmtId="0" fontId="1" fillId="20" borderId="65"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7" xfId="0" applyFont="1" applyFill="1" applyBorder="1" applyAlignment="1">
      <alignment horizontal="center" vertical="center"/>
    </xf>
    <xf numFmtId="0" fontId="2" fillId="0" borderId="63" xfId="0" applyFont="1" applyFill="1" applyBorder="1" applyAlignment="1">
      <alignment vertical="center"/>
    </xf>
    <xf numFmtId="0" fontId="10" fillId="0" borderId="64" xfId="0" applyFont="1" applyFill="1" applyBorder="1" applyAlignment="1">
      <alignment vertical="center"/>
    </xf>
    <xf numFmtId="0" fontId="2" fillId="20" borderId="0" xfId="0" applyFont="1" applyFill="1" applyBorder="1" applyAlignment="1">
      <alignment vertical="center"/>
    </xf>
    <xf numFmtId="0" fontId="10" fillId="20" borderId="66" xfId="0" applyFont="1" applyFill="1" applyBorder="1" applyAlignment="1">
      <alignment vertical="center"/>
    </xf>
    <xf numFmtId="0" fontId="2" fillId="0" borderId="0" xfId="0" applyFont="1" applyFill="1" applyBorder="1" applyAlignment="1">
      <alignment vertical="center"/>
    </xf>
    <xf numFmtId="0" fontId="10" fillId="0" borderId="66" xfId="0" applyFont="1" applyFill="1" applyBorder="1" applyAlignment="1">
      <alignment vertical="center"/>
    </xf>
    <xf numFmtId="0" fontId="2" fillId="0" borderId="68" xfId="0" applyFont="1" applyFill="1" applyBorder="1" applyAlignment="1">
      <alignment vertical="center"/>
    </xf>
    <xf numFmtId="0" fontId="10" fillId="0" borderId="69" xfId="0" applyFont="1" applyFill="1" applyBorder="1" applyAlignment="1">
      <alignment vertical="center"/>
    </xf>
    <xf numFmtId="0" fontId="5" fillId="0" borderId="0" xfId="0" applyFont="1" applyAlignment="1">
      <alignment wrapText="1"/>
    </xf>
    <xf numFmtId="0" fontId="14" fillId="0" borderId="0" xfId="0" applyFont="1" applyAlignment="1">
      <alignment vertical="center" wrapText="1"/>
    </xf>
    <xf numFmtId="0" fontId="34" fillId="0" borderId="55" xfId="0" applyFont="1" applyBorder="1" applyAlignment="1">
      <alignment horizontal="center" vertical="center" wrapText="1"/>
    </xf>
    <xf numFmtId="0" fontId="44" fillId="0" borderId="0" xfId="0" applyFont="1" applyAlignment="1">
      <alignment horizontal="left" vertical="center"/>
    </xf>
    <xf numFmtId="0" fontId="0" fillId="0" borderId="55" xfId="0" applyBorder="1" applyAlignment="1">
      <alignment vertical="center" wrapText="1"/>
    </xf>
    <xf numFmtId="0" fontId="14" fillId="0" borderId="0" xfId="0" applyFont="1" applyAlignment="1">
      <alignment vertical="center"/>
    </xf>
    <xf numFmtId="0" fontId="0" fillId="24" borderId="1" xfId="0" applyFill="1" applyBorder="1" applyAlignment="1">
      <alignment vertical="center" wrapText="1"/>
    </xf>
    <xf numFmtId="0" fontId="1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45" fillId="0" borderId="0" xfId="0" applyFont="1" applyAlignment="1">
      <alignment vertical="center" wrapText="1"/>
    </xf>
    <xf numFmtId="43" fontId="10" fillId="0" borderId="0" xfId="3" applyFont="1" applyAlignment="1">
      <alignment vertical="top"/>
    </xf>
    <xf numFmtId="43" fontId="10" fillId="0" borderId="0" xfId="3" applyFont="1" applyAlignment="1">
      <alignment vertical="center"/>
    </xf>
    <xf numFmtId="0" fontId="0" fillId="0" borderId="1" xfId="0"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2" fillId="6" borderId="1" xfId="0" applyFont="1" applyFill="1" applyBorder="1" applyAlignment="1" applyProtection="1">
      <alignment horizontal="center" vertical="center" wrapText="1"/>
      <protection locked="0"/>
    </xf>
    <xf numFmtId="0" fontId="0" fillId="25" borderId="1" xfId="0" applyFill="1" applyBorder="1" applyAlignment="1" applyProtection="1">
      <alignment horizontal="center" vertical="center" textRotation="90" wrapText="1"/>
      <protection locked="0"/>
    </xf>
    <xf numFmtId="0" fontId="47" fillId="0" borderId="0" xfId="0" applyFont="1" applyAlignment="1">
      <alignment horizontal="center" wrapText="1"/>
    </xf>
    <xf numFmtId="0" fontId="47" fillId="0" borderId="0" xfId="0" applyFont="1" applyAlignment="1">
      <alignment horizontal="center" textRotation="90" wrapText="1"/>
    </xf>
    <xf numFmtId="0" fontId="48" fillId="0" borderId="0" xfId="0" applyFont="1" applyAlignment="1">
      <alignment vertical="center" wrapText="1"/>
    </xf>
    <xf numFmtId="0" fontId="48" fillId="0" borderId="0" xfId="0" applyFont="1" applyAlignment="1">
      <alignment horizontal="center" vertical="center" wrapText="1"/>
    </xf>
    <xf numFmtId="0" fontId="48" fillId="0" borderId="0" xfId="0" applyFont="1" applyAlignment="1">
      <alignment horizontal="center" vertical="center" textRotation="90" wrapText="1"/>
    </xf>
    <xf numFmtId="0" fontId="51" fillId="0" borderId="0" xfId="0" applyFont="1" applyAlignment="1">
      <alignment vertical="center" wrapText="1"/>
    </xf>
    <xf numFmtId="0" fontId="51" fillId="0" borderId="0" xfId="0" applyFont="1" applyAlignment="1">
      <alignment horizontal="center" vertical="center" wrapText="1"/>
    </xf>
    <xf numFmtId="0" fontId="48" fillId="0" borderId="0" xfId="0" applyFont="1" applyFill="1" applyAlignment="1">
      <alignment vertical="center" wrapText="1"/>
    </xf>
    <xf numFmtId="0" fontId="51" fillId="0" borderId="0" xfId="0" applyFont="1" applyFill="1" applyAlignment="1">
      <alignment horizontal="center" vertical="center" wrapText="1"/>
    </xf>
    <xf numFmtId="0" fontId="51" fillId="2" borderId="1" xfId="0" applyFont="1" applyFill="1" applyBorder="1" applyAlignment="1">
      <alignment horizontal="center" vertical="center" textRotation="90" wrapText="1"/>
    </xf>
    <xf numFmtId="0" fontId="51" fillId="2" borderId="1" xfId="0" applyFont="1" applyFill="1" applyBorder="1" applyAlignment="1">
      <alignment horizontal="center" vertical="center" wrapText="1"/>
    </xf>
    <xf numFmtId="0" fontId="51" fillId="15" borderId="1" xfId="0" applyFont="1" applyFill="1" applyBorder="1" applyAlignment="1">
      <alignment horizontal="center" vertical="center" wrapText="1"/>
    </xf>
    <xf numFmtId="0" fontId="52" fillId="15" borderId="1" xfId="0" applyFont="1" applyFill="1" applyBorder="1" applyAlignment="1">
      <alignment horizontal="center" vertical="center" textRotation="90" wrapText="1"/>
    </xf>
    <xf numFmtId="0" fontId="51" fillId="15" borderId="1" xfId="0" applyFont="1" applyFill="1" applyBorder="1" applyAlignment="1">
      <alignment horizontal="center" vertical="center" textRotation="90" wrapText="1"/>
    </xf>
    <xf numFmtId="0" fontId="49" fillId="0" borderId="28"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textRotation="90" wrapText="1"/>
      <protection locked="0"/>
    </xf>
    <xf numFmtId="0" fontId="53" fillId="0" borderId="1" xfId="0" applyFont="1" applyFill="1" applyBorder="1" applyAlignment="1">
      <alignment horizontal="center" vertical="center" textRotation="90" wrapText="1"/>
    </xf>
    <xf numFmtId="0" fontId="51" fillId="0" borderId="1" xfId="0" applyFont="1" applyBorder="1" applyAlignment="1" applyProtection="1">
      <alignment horizontal="center" vertical="center" wrapText="1"/>
      <protection locked="0"/>
    </xf>
    <xf numFmtId="0" fontId="53" fillId="0" borderId="1" xfId="0" applyFont="1" applyBorder="1" applyAlignment="1" applyProtection="1">
      <alignment horizontal="center" vertical="center" textRotation="90" wrapText="1"/>
      <protection locked="0"/>
    </xf>
    <xf numFmtId="0" fontId="53" fillId="19" borderId="1" xfId="0" applyFont="1" applyFill="1" applyBorder="1" applyAlignment="1" applyProtection="1">
      <alignment horizontal="center" vertical="center" textRotation="90" wrapText="1"/>
      <protection locked="0"/>
    </xf>
    <xf numFmtId="0" fontId="48" fillId="0" borderId="1" xfId="0" applyFont="1" applyFill="1" applyBorder="1" applyAlignment="1" applyProtection="1">
      <alignment horizontal="center" vertical="center" wrapText="1"/>
      <protection locked="0"/>
    </xf>
    <xf numFmtId="9" fontId="48" fillId="0" borderId="1" xfId="1"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48" fillId="0" borderId="0" xfId="0" applyFont="1" applyBorder="1" applyAlignment="1" applyProtection="1">
      <alignment horizontal="center" vertical="center" wrapText="1"/>
      <protection locked="0"/>
    </xf>
    <xf numFmtId="0" fontId="48" fillId="0" borderId="0" xfId="0" applyFont="1" applyBorder="1" applyAlignment="1" applyProtection="1">
      <alignment horizontal="center" vertical="center" textRotation="90" wrapText="1"/>
      <protection locked="0"/>
    </xf>
    <xf numFmtId="0" fontId="53" fillId="0" borderId="0" xfId="0" applyFont="1" applyFill="1" applyBorder="1" applyAlignment="1">
      <alignment horizontal="center" vertical="center" textRotation="90" wrapText="1"/>
    </xf>
    <xf numFmtId="0" fontId="51" fillId="0" borderId="0" xfId="0" applyFont="1" applyBorder="1" applyAlignment="1" applyProtection="1">
      <alignment horizontal="center" vertical="center" wrapText="1"/>
      <protection locked="0"/>
    </xf>
    <xf numFmtId="0" fontId="53" fillId="0" borderId="0" xfId="0" applyFont="1" applyBorder="1" applyAlignment="1" applyProtection="1">
      <alignment horizontal="center" vertical="center" textRotation="90" wrapText="1"/>
      <protection locked="0"/>
    </xf>
    <xf numFmtId="0" fontId="48" fillId="0" borderId="0" xfId="0" applyFont="1" applyFill="1" applyBorder="1" applyAlignment="1" applyProtection="1">
      <alignment horizontal="center" vertical="center" wrapText="1"/>
      <protection locked="0"/>
    </xf>
    <xf numFmtId="0" fontId="48" fillId="0" borderId="0" xfId="0" applyFont="1" applyBorder="1" applyAlignment="1">
      <alignment horizontal="center" vertical="center" wrapText="1"/>
    </xf>
    <xf numFmtId="0" fontId="52" fillId="2" borderId="1" xfId="0" applyFont="1" applyFill="1" applyBorder="1" applyAlignment="1">
      <alignment horizontal="center" vertical="center" textRotation="90" wrapText="1"/>
    </xf>
    <xf numFmtId="0" fontId="49" fillId="0" borderId="0" xfId="0" applyFont="1" applyAlignment="1" applyProtection="1">
      <alignment horizontal="center" vertical="center" wrapText="1"/>
      <protection locked="0"/>
    </xf>
    <xf numFmtId="0" fontId="54" fillId="0" borderId="1" xfId="0" applyFont="1" applyBorder="1" applyAlignment="1" applyProtection="1">
      <alignment horizontal="center" vertical="center" textRotation="90" wrapText="1"/>
      <protection locked="0"/>
    </xf>
    <xf numFmtId="0" fontId="54" fillId="19" borderId="1" xfId="0" applyFont="1" applyFill="1" applyBorder="1" applyAlignment="1" applyProtection="1">
      <alignment horizontal="center" vertical="center" textRotation="90" wrapText="1"/>
      <protection locked="0"/>
    </xf>
    <xf numFmtId="0" fontId="55" fillId="0" borderId="1" xfId="0" applyFont="1" applyBorder="1" applyAlignment="1" applyProtection="1">
      <alignment horizontal="center" vertical="center" textRotation="90" wrapText="1"/>
      <protection locked="0"/>
    </xf>
    <xf numFmtId="9" fontId="48" fillId="0" borderId="32" xfId="1" applyFont="1" applyBorder="1" applyAlignment="1" applyProtection="1">
      <alignment vertical="center" wrapText="1"/>
      <protection locked="0"/>
    </xf>
    <xf numFmtId="9" fontId="48" fillId="0" borderId="33" xfId="1" applyFont="1" applyBorder="1" applyAlignment="1" applyProtection="1">
      <alignment vertical="center" wrapText="1"/>
      <protection locked="0"/>
    </xf>
    <xf numFmtId="0" fontId="49" fillId="0" borderId="0" xfId="0" applyFont="1" applyFill="1" applyAlignment="1" applyProtection="1">
      <alignment horizontal="center" vertical="center" wrapText="1"/>
      <protection locked="0"/>
    </xf>
    <xf numFmtId="0" fontId="56" fillId="0" borderId="1" xfId="0" applyFont="1" applyBorder="1" applyAlignment="1" applyProtection="1">
      <alignment horizontal="center" vertical="center" textRotation="90" wrapText="1"/>
      <protection locked="0"/>
    </xf>
    <xf numFmtId="0" fontId="48" fillId="0" borderId="1" xfId="0" applyFont="1" applyBorder="1" applyAlignment="1" applyProtection="1">
      <alignment vertical="center" wrapText="1"/>
      <protection locked="0"/>
    </xf>
    <xf numFmtId="0" fontId="48" fillId="0" borderId="0" xfId="0" applyFont="1" applyFill="1" applyBorder="1" applyAlignment="1">
      <alignment vertical="center" wrapText="1"/>
    </xf>
    <xf numFmtId="0" fontId="57" fillId="0" borderId="1" xfId="0" applyFont="1" applyBorder="1" applyAlignment="1" applyProtection="1">
      <alignment horizontal="center" vertical="center" textRotation="90" wrapText="1"/>
      <protection locked="0"/>
    </xf>
    <xf numFmtId="9" fontId="48" fillId="0" borderId="1" xfId="1" applyFont="1" applyFill="1" applyBorder="1" applyAlignment="1" applyProtection="1">
      <alignment horizontal="center" vertical="center" wrapText="1"/>
      <protection locked="0"/>
    </xf>
    <xf numFmtId="0" fontId="58" fillId="0" borderId="0" xfId="0" applyFont="1" applyAlignment="1">
      <alignment vertical="center" wrapText="1"/>
    </xf>
    <xf numFmtId="0" fontId="58" fillId="0" borderId="0" xfId="0" applyFont="1" applyAlignment="1">
      <alignment horizontal="center" vertical="center" wrapText="1"/>
    </xf>
    <xf numFmtId="0" fontId="59" fillId="0" borderId="0" xfId="0" applyFont="1" applyAlignment="1">
      <alignment vertical="center" wrapText="1"/>
    </xf>
    <xf numFmtId="0" fontId="58" fillId="0" borderId="0" xfId="0" applyFont="1" applyAlignment="1">
      <alignment horizontal="center" vertical="center" textRotation="90" wrapText="1"/>
    </xf>
    <xf numFmtId="0" fontId="59" fillId="0" borderId="0" xfId="0" applyFont="1" applyAlignment="1">
      <alignment horizontal="center" vertical="center" wrapText="1"/>
    </xf>
    <xf numFmtId="0" fontId="58" fillId="0" borderId="0" xfId="0" applyFont="1" applyFill="1" applyAlignment="1">
      <alignment vertical="center" wrapText="1"/>
    </xf>
    <xf numFmtId="0" fontId="59" fillId="0" borderId="0" xfId="0" applyFont="1" applyFill="1" applyAlignment="1">
      <alignment horizontal="center" vertical="center" wrapText="1"/>
    </xf>
    <xf numFmtId="0" fontId="59" fillId="2" borderId="1" xfId="0" applyFont="1" applyFill="1" applyBorder="1" applyAlignment="1">
      <alignment horizontal="center" vertical="center" textRotation="90" wrapText="1"/>
    </xf>
    <xf numFmtId="0" fontId="59" fillId="2" borderId="1" xfId="0" applyFont="1" applyFill="1" applyBorder="1" applyAlignment="1">
      <alignment horizontal="center" vertical="center" wrapText="1"/>
    </xf>
    <xf numFmtId="0" fontId="59" fillId="15" borderId="1" xfId="0" applyFont="1" applyFill="1" applyBorder="1" applyAlignment="1">
      <alignment horizontal="center" vertical="center" wrapText="1"/>
    </xf>
    <xf numFmtId="0" fontId="59" fillId="15"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59" fillId="0" borderId="0" xfId="0" applyFont="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0" fontId="58" fillId="0" borderId="1" xfId="0" applyFont="1" applyBorder="1" applyAlignment="1" applyProtection="1">
      <alignment horizontal="center" vertical="center" textRotation="90" wrapText="1"/>
      <protection locked="0"/>
    </xf>
    <xf numFmtId="9" fontId="58" fillId="0" borderId="1" xfId="1" applyFont="1" applyBorder="1" applyAlignment="1" applyProtection="1">
      <alignment horizontal="center" vertical="center" wrapText="1"/>
      <protection locked="0"/>
    </xf>
    <xf numFmtId="0" fontId="7" fillId="0" borderId="0" xfId="0" applyFont="1" applyFill="1" applyBorder="1" applyAlignment="1">
      <alignment horizontal="center" vertical="center" wrapText="1"/>
    </xf>
    <xf numFmtId="0" fontId="58" fillId="0" borderId="0" xfId="0" applyFont="1" applyFill="1" applyBorder="1" applyAlignment="1">
      <alignment vertical="center" wrapText="1"/>
    </xf>
    <xf numFmtId="0" fontId="46" fillId="0" borderId="1" xfId="0" applyFont="1" applyBorder="1" applyAlignment="1" applyProtection="1">
      <alignment horizontal="center" vertical="center" wrapText="1"/>
      <protection locked="0"/>
    </xf>
    <xf numFmtId="0" fontId="47" fillId="0" borderId="0" xfId="0" applyFont="1" applyAlignment="1"/>
    <xf numFmtId="0" fontId="47" fillId="0" borderId="1" xfId="0" applyFont="1" applyBorder="1" applyAlignment="1"/>
    <xf numFmtId="0" fontId="50" fillId="0" borderId="32" xfId="0" applyFont="1" applyBorder="1" applyAlignment="1" applyProtection="1">
      <alignment horizontal="center" vertical="center" wrapText="1"/>
      <protection locked="0"/>
    </xf>
    <xf numFmtId="0" fontId="50" fillId="0" borderId="70" xfId="0" applyFont="1" applyBorder="1" applyAlignment="1" applyProtection="1">
      <alignment horizontal="center" vertical="center" wrapText="1"/>
      <protection locked="0"/>
    </xf>
    <xf numFmtId="0" fontId="50" fillId="0" borderId="33" xfId="0" applyFont="1" applyBorder="1" applyAlignment="1" applyProtection="1">
      <alignment horizontal="center" vertical="center" wrapText="1"/>
      <protection locked="0"/>
    </xf>
    <xf numFmtId="0" fontId="48" fillId="3" borderId="32"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48" fillId="25" borderId="1" xfId="0" applyFont="1" applyFill="1" applyBorder="1" applyAlignment="1" applyProtection="1">
      <alignment horizontal="center" vertical="center" wrapText="1"/>
      <protection locked="0"/>
    </xf>
    <xf numFmtId="0" fontId="63" fillId="0" borderId="1" xfId="0" applyFont="1" applyBorder="1" applyAlignment="1"/>
    <xf numFmtId="0" fontId="2" fillId="0" borderId="1" xfId="0" applyFont="1" applyBorder="1" applyAlignment="1" applyProtection="1">
      <alignment horizontal="center" vertical="center" wrapText="1"/>
      <protection locked="0"/>
    </xf>
    <xf numFmtId="0" fontId="34" fillId="25"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44" fillId="25"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0" fillId="25" borderId="1" xfId="0" applyFill="1" applyBorder="1" applyAlignment="1" applyProtection="1">
      <alignment horizontal="center" vertical="center" wrapText="1"/>
      <protection locked="0"/>
    </xf>
    <xf numFmtId="0" fontId="14" fillId="0" borderId="0" xfId="0" applyFont="1" applyAlignment="1"/>
    <xf numFmtId="0" fontId="5" fillId="0" borderId="0" xfId="0" applyFont="1" applyAlignment="1"/>
    <xf numFmtId="0" fontId="14" fillId="0" borderId="0" xfId="0" applyFont="1" applyBorder="1" applyAlignment="1"/>
    <xf numFmtId="0" fontId="49" fillId="25" borderId="1" xfId="0" applyFont="1" applyFill="1" applyBorder="1" applyAlignment="1" applyProtection="1">
      <alignment horizontal="center" vertical="center" wrapText="1"/>
      <protection locked="0"/>
    </xf>
    <xf numFmtId="0" fontId="0" fillId="25" borderId="1" xfId="0" applyFill="1" applyBorder="1" applyAlignment="1">
      <alignment horizontal="center" vertical="center" wrapText="1"/>
    </xf>
    <xf numFmtId="0" fontId="48" fillId="0" borderId="1" xfId="0" applyFont="1" applyBorder="1" applyAlignment="1" applyProtection="1">
      <alignment horizontal="left" vertical="center" wrapText="1"/>
      <protection locked="0"/>
    </xf>
    <xf numFmtId="0" fontId="2" fillId="25" borderId="1" xfId="0" applyFont="1" applyFill="1" applyBorder="1" applyAlignment="1" applyProtection="1">
      <alignment horizontal="center" vertical="center" wrapText="1"/>
      <protection locked="0"/>
    </xf>
    <xf numFmtId="0" fontId="14" fillId="0" borderId="0" xfId="0" applyFont="1" applyBorder="1" applyAlignment="1">
      <alignment vertical="center" wrapText="1"/>
    </xf>
    <xf numFmtId="0" fontId="14" fillId="0" borderId="0" xfId="0" applyFont="1" applyBorder="1" applyAlignment="1">
      <alignment vertical="center"/>
    </xf>
    <xf numFmtId="0" fontId="5" fillId="0" borderId="0" xfId="0" applyFont="1" applyBorder="1" applyAlignment="1"/>
    <xf numFmtId="0" fontId="5" fillId="25" borderId="0" xfId="0" applyFont="1" applyFill="1" applyBorder="1" applyAlignment="1">
      <alignment wrapText="1"/>
    </xf>
    <xf numFmtId="0" fontId="14" fillId="25" borderId="0" xfId="0" applyFont="1" applyFill="1" applyBorder="1" applyAlignment="1">
      <alignment vertical="center"/>
    </xf>
    <xf numFmtId="0" fontId="14" fillId="25" borderId="0" xfId="0" applyFont="1" applyFill="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51" fillId="2" borderId="1" xfId="0" applyFont="1" applyFill="1" applyBorder="1" applyAlignment="1">
      <alignment horizontal="center" vertical="center" wrapText="1"/>
    </xf>
    <xf numFmtId="0" fontId="51"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50" fillId="0" borderId="70" xfId="0" applyFont="1" applyBorder="1" applyAlignment="1" applyProtection="1">
      <alignment horizontal="center" vertical="center" wrapText="1"/>
      <protection locked="0"/>
    </xf>
    <xf numFmtId="0" fontId="50" fillId="0" borderId="33"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64" fillId="0" borderId="1" xfId="0" applyFont="1" applyBorder="1" applyAlignment="1" applyProtection="1">
      <alignment horizontal="center" vertical="center" wrapText="1"/>
      <protection locked="0"/>
    </xf>
    <xf numFmtId="0" fontId="59" fillId="0" borderId="1" xfId="0" applyFont="1" applyFill="1" applyBorder="1" applyAlignment="1" applyProtection="1">
      <alignment horizontal="center" vertical="center" wrapText="1"/>
      <protection locked="0"/>
    </xf>
    <xf numFmtId="0" fontId="59" fillId="0" borderId="1" xfId="0" applyFont="1" applyBorder="1" applyAlignment="1" applyProtection="1">
      <alignment horizontal="center" vertical="center" wrapText="1"/>
      <protection locked="0"/>
    </xf>
    <xf numFmtId="0" fontId="58" fillId="0" borderId="1" xfId="0" applyFont="1" applyFill="1" applyBorder="1" applyAlignment="1" applyProtection="1">
      <alignment horizontal="center" vertical="center" wrapText="1"/>
      <protection locked="0"/>
    </xf>
    <xf numFmtId="0" fontId="29" fillId="0" borderId="0" xfId="0" applyFont="1" applyBorder="1" applyAlignment="1">
      <alignment horizontal="center" vertical="center" wrapText="1"/>
    </xf>
    <xf numFmtId="0" fontId="0" fillId="0" borderId="0" xfId="0" applyBorder="1" applyAlignment="1">
      <alignment vertical="center" wrapText="1"/>
    </xf>
    <xf numFmtId="0" fontId="29" fillId="0" borderId="0" xfId="0" applyFont="1" applyAlignment="1">
      <alignment vertical="center"/>
    </xf>
    <xf numFmtId="0" fontId="44" fillId="0" borderId="56" xfId="0" applyFont="1" applyBorder="1" applyAlignment="1">
      <alignment vertical="center"/>
    </xf>
    <xf numFmtId="0" fontId="12" fillId="0" borderId="0" xfId="0" applyFont="1" applyAlignment="1">
      <alignment vertical="center"/>
    </xf>
    <xf numFmtId="0" fontId="1" fillId="0" borderId="0" xfId="0" applyFont="1" applyBorder="1" applyAlignment="1">
      <alignment vertical="center"/>
    </xf>
    <xf numFmtId="0" fontId="44" fillId="0" borderId="0" xfId="0" applyFont="1" applyBorder="1" applyAlignment="1">
      <alignment vertical="center"/>
    </xf>
    <xf numFmtId="0" fontId="34" fillId="0" borderId="55" xfId="0" applyFont="1" applyBorder="1" applyAlignment="1">
      <alignment horizontal="center" vertical="center"/>
    </xf>
    <xf numFmtId="0" fontId="29"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34" fillId="0" borderId="55" xfId="0" applyFont="1" applyBorder="1" applyAlignment="1">
      <alignment horizontal="center" vertical="center"/>
    </xf>
    <xf numFmtId="0" fontId="51" fillId="2" borderId="1" xfId="0" applyFont="1" applyFill="1" applyBorder="1" applyAlignment="1">
      <alignment horizontal="center" vertical="center" wrapText="1"/>
    </xf>
    <xf numFmtId="0" fontId="51"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48" fillId="0" borderId="1" xfId="0" applyFont="1" applyBorder="1" applyAlignment="1">
      <alignment horizontal="center" vertical="center" wrapText="1"/>
    </xf>
    <xf numFmtId="9" fontId="58" fillId="0" borderId="1" xfId="1" applyFont="1" applyBorder="1" applyAlignment="1">
      <alignment horizontal="center" vertical="center" wrapText="1"/>
    </xf>
    <xf numFmtId="9" fontId="48" fillId="0" borderId="1" xfId="1" applyFont="1" applyBorder="1" applyAlignment="1">
      <alignment horizontal="center" vertical="center" wrapText="1"/>
    </xf>
    <xf numFmtId="0" fontId="48" fillId="19" borderId="1" xfId="0" applyFont="1" applyFill="1" applyBorder="1" applyAlignment="1" applyProtection="1">
      <alignment horizontal="center" vertical="center" textRotation="90" wrapText="1"/>
      <protection locked="0"/>
    </xf>
    <xf numFmtId="0" fontId="53" fillId="0" borderId="1" xfId="0" applyFont="1" applyBorder="1" applyAlignment="1">
      <alignment horizontal="center" vertical="center" textRotation="90" wrapText="1"/>
    </xf>
    <xf numFmtId="9" fontId="48" fillId="25" borderId="1" xfId="1"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29" fillId="0" borderId="0" xfId="0" applyFont="1" applyAlignment="1">
      <alignment horizontal="center" vertical="center"/>
    </xf>
    <xf numFmtId="0" fontId="44" fillId="0" borderId="0" xfId="0" applyFont="1" applyAlignment="1">
      <alignment vertical="center"/>
    </xf>
    <xf numFmtId="0" fontId="10" fillId="0" borderId="1" xfId="0" applyFont="1" applyBorder="1" applyAlignment="1">
      <alignment horizontal="center" vertical="center" textRotation="90" wrapText="1"/>
    </xf>
    <xf numFmtId="0" fontId="0" fillId="0" borderId="32" xfId="0" applyBorder="1" applyAlignment="1" applyProtection="1">
      <alignment vertical="center" wrapText="1"/>
      <protection locked="0"/>
    </xf>
    <xf numFmtId="9" fontId="0" fillId="0" borderId="1" xfId="1" applyFont="1" applyBorder="1" applyAlignment="1">
      <alignment horizontal="center" vertical="center" wrapText="1"/>
    </xf>
    <xf numFmtId="9" fontId="8" fillId="25" borderId="1"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48" fillId="26" borderId="1" xfId="0" applyFont="1" applyFill="1" applyBorder="1" applyAlignment="1" applyProtection="1">
      <alignment horizontal="center" vertical="center" wrapText="1"/>
      <protection locked="0"/>
    </xf>
    <xf numFmtId="0" fontId="53" fillId="26" borderId="1" xfId="0" applyFont="1" applyFill="1" applyBorder="1" applyAlignment="1">
      <alignment horizontal="center" vertical="center" textRotation="90" wrapText="1"/>
    </xf>
    <xf numFmtId="0" fontId="54" fillId="26" borderId="1" xfId="0" applyFont="1" applyFill="1" applyBorder="1" applyAlignment="1" applyProtection="1">
      <alignment horizontal="center" vertical="center" textRotation="90" wrapText="1"/>
      <protection locked="0"/>
    </xf>
    <xf numFmtId="0" fontId="46" fillId="0" borderId="1" xfId="0" applyFont="1" applyBorder="1" applyAlignment="1">
      <alignment horizontal="justify" vertical="center" wrapText="1"/>
    </xf>
    <xf numFmtId="0" fontId="46" fillId="25" borderId="1" xfId="4" applyFont="1" applyFill="1" applyBorder="1" applyAlignment="1">
      <alignment vertical="center" wrapText="1"/>
    </xf>
    <xf numFmtId="0" fontId="46" fillId="0" borderId="1" xfId="0" applyFont="1" applyBorder="1" applyAlignment="1">
      <alignment horizontal="left" vertical="center" wrapText="1"/>
    </xf>
    <xf numFmtId="0" fontId="60" fillId="25" borderId="1" xfId="0" applyFont="1" applyFill="1" applyBorder="1" applyAlignment="1">
      <alignment horizontal="left" vertical="center" wrapText="1"/>
    </xf>
    <xf numFmtId="0" fontId="60" fillId="25" borderId="1" xfId="0" applyFont="1" applyFill="1" applyBorder="1" applyAlignment="1">
      <alignment horizontal="justify" vertical="center" wrapText="1"/>
    </xf>
    <xf numFmtId="0" fontId="46" fillId="25" borderId="1" xfId="0" applyFont="1" applyFill="1" applyBorder="1" applyAlignment="1">
      <alignment horizontal="justify" vertical="center" wrapText="1"/>
    </xf>
    <xf numFmtId="0" fontId="62" fillId="0" borderId="0" xfId="0" applyFont="1" applyBorder="1" applyAlignment="1">
      <alignment horizontal="center" vertical="center" wrapText="1"/>
    </xf>
    <xf numFmtId="0" fontId="61" fillId="0" borderId="0" xfId="0" applyFont="1" applyBorder="1" applyAlignment="1">
      <alignment horizontal="center" vertical="center" wrapText="1"/>
    </xf>
    <xf numFmtId="0" fontId="0" fillId="0" borderId="0" xfId="0" applyBorder="1" applyAlignment="1" applyProtection="1">
      <alignment horizontal="center" vertical="center" wrapText="1"/>
      <protection locked="0"/>
    </xf>
    <xf numFmtId="0" fontId="54" fillId="0" borderId="0" xfId="0" applyFont="1" applyBorder="1" applyAlignment="1" applyProtection="1">
      <alignment horizontal="center" vertical="center" textRotation="90" wrapText="1"/>
      <protection locked="0"/>
    </xf>
    <xf numFmtId="0" fontId="57" fillId="0" borderId="0" xfId="0" applyFont="1" applyBorder="1" applyAlignment="1" applyProtection="1">
      <alignment horizontal="center" vertical="center" textRotation="90" wrapText="1"/>
      <protection locked="0"/>
    </xf>
    <xf numFmtId="0" fontId="46" fillId="0" borderId="0" xfId="0" applyFont="1" applyBorder="1" applyAlignment="1">
      <alignment horizontal="justify" vertical="center" wrapText="1"/>
    </xf>
    <xf numFmtId="0" fontId="48" fillId="0" borderId="1" xfId="0" applyFont="1" applyBorder="1" applyAlignment="1">
      <alignment horizontal="center" vertical="center" textRotation="90" wrapText="1"/>
    </xf>
    <xf numFmtId="0" fontId="58" fillId="0" borderId="1" xfId="0" applyFont="1" applyBorder="1" applyAlignment="1">
      <alignment horizontal="center" vertical="center" textRotation="90" wrapText="1"/>
    </xf>
    <xf numFmtId="9" fontId="48" fillId="0" borderId="1" xfId="0" applyNumberFormat="1" applyFont="1" applyBorder="1" applyAlignment="1">
      <alignment horizontal="center" vertical="center" wrapText="1"/>
    </xf>
    <xf numFmtId="9" fontId="5" fillId="0" borderId="0" xfId="0" applyNumberFormat="1" applyFont="1" applyAlignment="1">
      <alignment wrapText="1"/>
    </xf>
    <xf numFmtId="9" fontId="5" fillId="0" borderId="0" xfId="0" applyNumberFormat="1" applyFont="1" applyAlignment="1">
      <alignment horizontal="center" wrapText="1"/>
    </xf>
    <xf numFmtId="9" fontId="48" fillId="0" borderId="1" xfId="1" applyNumberFormat="1" applyFont="1" applyBorder="1" applyAlignment="1">
      <alignment horizontal="center" vertical="center" wrapText="1"/>
    </xf>
    <xf numFmtId="9" fontId="48" fillId="25" borderId="1" xfId="1" applyFont="1" applyFill="1" applyBorder="1" applyAlignment="1" applyProtection="1">
      <alignment horizontal="center" vertical="center" wrapText="1"/>
      <protection locked="0"/>
    </xf>
    <xf numFmtId="0" fontId="48" fillId="25" borderId="1" xfId="0" applyFont="1" applyFill="1" applyBorder="1" applyAlignment="1" applyProtection="1">
      <alignment horizontal="center" vertical="center" textRotation="90" wrapText="1"/>
      <protection locked="0"/>
    </xf>
    <xf numFmtId="0" fontId="48" fillId="25" borderId="1" xfId="0" applyFont="1" applyFill="1" applyBorder="1" applyAlignment="1" applyProtection="1">
      <alignment vertical="center" wrapText="1"/>
      <protection locked="0"/>
    </xf>
    <xf numFmtId="9" fontId="48" fillId="0" borderId="0" xfId="1" applyFont="1" applyBorder="1" applyAlignment="1">
      <alignment horizontal="center" vertical="center" wrapText="1"/>
    </xf>
    <xf numFmtId="9" fontId="0" fillId="25" borderId="1" xfId="1"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 fillId="0" borderId="1" xfId="0" applyFont="1" applyBorder="1" applyAlignment="1">
      <alignment horizontal="center" vertical="center" wrapText="1"/>
    </xf>
    <xf numFmtId="9" fontId="51" fillId="0" borderId="3" xfId="1" applyFont="1" applyBorder="1" applyAlignment="1" applyProtection="1">
      <alignment horizontal="center" vertical="center" wrapText="1"/>
      <protection locked="0"/>
    </xf>
    <xf numFmtId="0" fontId="51" fillId="2" borderId="25" xfId="0" applyFont="1" applyFill="1" applyBorder="1" applyAlignment="1">
      <alignment horizontal="center" vertical="center" wrapText="1"/>
    </xf>
    <xf numFmtId="9" fontId="8" fillId="0" borderId="3" xfId="0" applyNumberFormat="1" applyFont="1" applyBorder="1" applyAlignment="1">
      <alignment horizontal="center" vertical="center" wrapText="1"/>
    </xf>
    <xf numFmtId="9" fontId="8" fillId="0" borderId="1" xfId="1" applyFont="1" applyBorder="1" applyAlignment="1">
      <alignment horizontal="center" vertical="center" wrapText="1"/>
    </xf>
    <xf numFmtId="9" fontId="8" fillId="0" borderId="0" xfId="0" applyNumberFormat="1" applyFont="1" applyBorder="1" applyAlignment="1">
      <alignment horizontal="center" vertical="center" wrapText="1"/>
    </xf>
    <xf numFmtId="0" fontId="5" fillId="0" borderId="0" xfId="0" applyFont="1" applyBorder="1" applyAlignment="1">
      <alignment horizontal="center" textRotation="90" wrapText="1"/>
    </xf>
    <xf numFmtId="0" fontId="6" fillId="2" borderId="32" xfId="0" applyFont="1" applyFill="1" applyBorder="1" applyAlignment="1">
      <alignment horizontal="center" vertical="center" wrapText="1"/>
    </xf>
    <xf numFmtId="9" fontId="48" fillId="25" borderId="3" xfId="1" applyFont="1" applyFill="1" applyBorder="1" applyAlignment="1">
      <alignment horizontal="center" vertical="center" wrapText="1"/>
    </xf>
    <xf numFmtId="0" fontId="51" fillId="2" borderId="54" xfId="0" applyFont="1" applyFill="1" applyBorder="1" applyAlignment="1">
      <alignment horizontal="center" vertical="center" wrapText="1"/>
    </xf>
    <xf numFmtId="0" fontId="51" fillId="2" borderId="20" xfId="0" applyFont="1" applyFill="1" applyBorder="1" applyAlignment="1">
      <alignment horizontal="center" vertical="center" wrapText="1"/>
    </xf>
    <xf numFmtId="9" fontId="0" fillId="0" borderId="3" xfId="1" applyFont="1" applyBorder="1" applyAlignment="1">
      <alignment horizontal="center" vertical="center" wrapText="1"/>
    </xf>
    <xf numFmtId="0" fontId="51" fillId="2" borderId="73" xfId="0" applyFont="1" applyFill="1" applyBorder="1" applyAlignment="1">
      <alignment horizontal="center" vertical="center" wrapText="1"/>
    </xf>
    <xf numFmtId="0" fontId="51" fillId="2" borderId="74" xfId="0" applyFont="1" applyFill="1" applyBorder="1" applyAlignment="1">
      <alignment horizontal="center" vertical="center" wrapText="1"/>
    </xf>
    <xf numFmtId="0" fontId="51" fillId="2" borderId="75" xfId="0" applyFont="1" applyFill="1" applyBorder="1" applyAlignment="1">
      <alignment horizontal="center" vertical="center" wrapText="1"/>
    </xf>
    <xf numFmtId="0" fontId="51" fillId="2" borderId="76" xfId="0" applyFont="1" applyFill="1" applyBorder="1" applyAlignment="1">
      <alignment horizontal="center" vertical="center" wrapText="1"/>
    </xf>
    <xf numFmtId="0" fontId="48" fillId="0" borderId="32" xfId="0" applyFont="1" applyBorder="1" applyAlignment="1" applyProtection="1">
      <alignment vertical="center" wrapText="1"/>
      <protection locked="0"/>
    </xf>
    <xf numFmtId="9" fontId="48" fillId="0" borderId="3" xfId="1" applyFont="1" applyBorder="1" applyAlignment="1">
      <alignment horizontal="center" vertical="center" wrapText="1"/>
    </xf>
    <xf numFmtId="0" fontId="1" fillId="0" borderId="1" xfId="0" applyFont="1" applyBorder="1" applyAlignment="1">
      <alignment horizontal="center" vertical="center" wrapText="1"/>
    </xf>
    <xf numFmtId="9" fontId="48" fillId="0" borderId="0" xfId="1" applyFont="1" applyAlignment="1">
      <alignment horizontal="center" vertical="center" wrapText="1"/>
    </xf>
    <xf numFmtId="0" fontId="0" fillId="0" borderId="1" xfId="0" applyBorder="1" applyAlignment="1">
      <alignment horizontal="center" vertical="center" wrapText="1"/>
    </xf>
    <xf numFmtId="9" fontId="58" fillId="0" borderId="1" xfId="1" applyFont="1" applyBorder="1" applyAlignment="1">
      <alignment horizontal="center" vertical="center" wrapText="1"/>
    </xf>
    <xf numFmtId="0" fontId="65" fillId="0" borderId="0" xfId="0" applyFont="1" applyAlignment="1">
      <alignment horizontal="center" vertical="center" wrapText="1"/>
    </xf>
    <xf numFmtId="0" fontId="34" fillId="0" borderId="0" xfId="0" applyFont="1" applyAlignment="1">
      <alignment vertical="center" wrapText="1"/>
    </xf>
    <xf numFmtId="0" fontId="34"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7" borderId="1" xfId="0" applyFont="1" applyFill="1" applyBorder="1" applyAlignment="1">
      <alignment horizontal="center" vertical="center" wrapText="1"/>
    </xf>
    <xf numFmtId="0" fontId="71" fillId="0" borderId="56" xfId="0" applyFont="1" applyBorder="1" applyAlignment="1">
      <alignment horizontal="center" vertical="center" wrapText="1"/>
    </xf>
    <xf numFmtId="0" fontId="72" fillId="0" borderId="56" xfId="0" applyFont="1" applyBorder="1" applyAlignment="1">
      <alignment vertical="center" wrapText="1"/>
    </xf>
    <xf numFmtId="0" fontId="14" fillId="0" borderId="0" xfId="0" applyFont="1" applyAlignment="1">
      <alignment vertical="center" textRotation="90" wrapText="1"/>
    </xf>
    <xf numFmtId="0" fontId="0" fillId="25" borderId="1" xfId="0" applyFont="1" applyFill="1" applyBorder="1" applyAlignment="1">
      <alignment horizontal="left" vertical="center" wrapText="1"/>
    </xf>
    <xf numFmtId="0" fontId="53" fillId="0" borderId="1" xfId="0" applyFont="1" applyBorder="1" applyAlignment="1" applyProtection="1">
      <alignment horizontal="center" vertical="center" wrapText="1"/>
      <protection locked="0"/>
    </xf>
    <xf numFmtId="0" fontId="53" fillId="0" borderId="1" xfId="0" applyFont="1" applyFill="1" applyBorder="1" applyAlignment="1" applyProtection="1">
      <alignment horizontal="center" vertical="center" wrapText="1"/>
      <protection locked="0"/>
    </xf>
    <xf numFmtId="0" fontId="0" fillId="0" borderId="70" xfId="0" applyBorder="1" applyAlignment="1">
      <alignment vertical="center" wrapText="1"/>
    </xf>
    <xf numFmtId="0" fontId="0" fillId="0" borderId="25" xfId="0" applyBorder="1" applyAlignment="1">
      <alignment horizontal="center" vertical="center" wrapText="1"/>
    </xf>
    <xf numFmtId="0" fontId="0" fillId="25" borderId="3" xfId="0" applyFill="1" applyBorder="1" applyAlignment="1">
      <alignment horizontal="center" vertical="center" wrapText="1"/>
    </xf>
    <xf numFmtId="0" fontId="46" fillId="25" borderId="1" xfId="4" applyFont="1" applyFill="1" applyBorder="1" applyAlignment="1" applyProtection="1">
      <alignment horizontal="left" vertical="center" wrapText="1"/>
    </xf>
    <xf numFmtId="0" fontId="46" fillId="0" borderId="1" xfId="0" applyFont="1" applyBorder="1" applyAlignment="1" applyProtection="1">
      <alignment horizontal="left" vertical="center" wrapText="1"/>
    </xf>
    <xf numFmtId="0" fontId="46" fillId="25" borderId="1" xfId="0" applyFont="1" applyFill="1" applyBorder="1" applyAlignment="1" applyProtection="1">
      <alignment horizontal="left" vertical="center" wrapText="1"/>
    </xf>
    <xf numFmtId="0" fontId="46" fillId="0" borderId="3" xfId="0" applyFont="1" applyBorder="1" applyAlignment="1">
      <alignment horizontal="left" vertical="center" wrapText="1"/>
    </xf>
    <xf numFmtId="0" fontId="53" fillId="0" borderId="1" xfId="0" applyFont="1" applyBorder="1" applyAlignment="1" applyProtection="1">
      <alignment horizontal="left" vertical="center" wrapText="1"/>
      <protection locked="0"/>
    </xf>
    <xf numFmtId="0" fontId="48" fillId="0" borderId="1" xfId="0" applyFont="1" applyFill="1" applyBorder="1" applyAlignment="1" applyProtection="1">
      <alignment horizontal="left" vertical="center" wrapText="1"/>
      <protection locked="0"/>
    </xf>
    <xf numFmtId="0" fontId="0" fillId="0" borderId="2" xfId="0" applyFill="1" applyBorder="1" applyAlignment="1">
      <alignment horizontal="center" vertical="center" wrapText="1"/>
    </xf>
    <xf numFmtId="0" fontId="0" fillId="25" borderId="0" xfId="0" applyFill="1" applyAlignment="1">
      <alignment vertical="center" wrapText="1"/>
    </xf>
    <xf numFmtId="9" fontId="0" fillId="25" borderId="1" xfId="1" applyFont="1" applyFill="1" applyBorder="1" applyAlignment="1">
      <alignment horizontal="left" vertical="center" wrapText="1"/>
    </xf>
    <xf numFmtId="0" fontId="34" fillId="25" borderId="1" xfId="0" applyFont="1" applyFill="1" applyBorder="1" applyAlignment="1">
      <alignment horizontal="center" vertical="center" wrapText="1"/>
    </xf>
    <xf numFmtId="0" fontId="53" fillId="25" borderId="1" xfId="0" applyFont="1" applyFill="1" applyBorder="1" applyAlignment="1" applyProtection="1">
      <alignment horizontal="left" vertical="center" wrapText="1"/>
      <protection locked="0"/>
    </xf>
    <xf numFmtId="0" fontId="48" fillId="25" borderId="1" xfId="0" applyFont="1" applyFill="1" applyBorder="1" applyAlignment="1" applyProtection="1">
      <alignment horizontal="left" vertical="center" wrapText="1"/>
      <protection locked="0"/>
    </xf>
    <xf numFmtId="0" fontId="14" fillId="20" borderId="2" xfId="0" applyFont="1" applyFill="1" applyBorder="1" applyAlignment="1">
      <alignment horizontal="center" vertical="center" textRotation="90" wrapText="1"/>
    </xf>
    <xf numFmtId="0" fontId="44" fillId="27" borderId="1" xfId="0"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xf numFmtId="0" fontId="0" fillId="0" borderId="2" xfId="0" applyBorder="1" applyAlignment="1">
      <alignment horizontal="center" vertical="center" wrapText="1"/>
    </xf>
    <xf numFmtId="0" fontId="0" fillId="25" borderId="2" xfId="0" applyFill="1" applyBorder="1" applyAlignment="1">
      <alignment horizontal="center" vertical="center" wrapText="1"/>
    </xf>
    <xf numFmtId="0" fontId="44" fillId="27" borderId="2" xfId="0" applyFont="1" applyFill="1" applyBorder="1" applyAlignment="1">
      <alignment horizontal="center" vertical="center" wrapText="1"/>
    </xf>
    <xf numFmtId="0" fontId="73"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34" fillId="0" borderId="1" xfId="0" quotePrefix="1" applyFont="1" applyBorder="1" applyAlignment="1">
      <alignment horizontal="center" vertical="center" wrapText="1"/>
    </xf>
    <xf numFmtId="0" fontId="0" fillId="0" borderId="1" xfId="0" applyFont="1" applyBorder="1" applyAlignment="1" applyProtection="1">
      <alignment horizontal="center" vertical="center" wrapText="1"/>
      <protection locked="0"/>
    </xf>
    <xf numFmtId="0" fontId="0" fillId="0" borderId="0" xfId="0" applyFont="1" applyAlignment="1">
      <alignment vertical="center" wrapText="1"/>
    </xf>
    <xf numFmtId="0" fontId="46" fillId="25" borderId="1" xfId="0" applyFont="1" applyFill="1" applyBorder="1" applyAlignment="1" applyProtection="1">
      <alignment horizontal="left" vertical="center" wrapText="1"/>
      <protection locked="0"/>
    </xf>
    <xf numFmtId="0" fontId="10" fillId="25" borderId="1" xfId="0" applyFont="1" applyFill="1" applyBorder="1" applyAlignment="1" applyProtection="1">
      <alignment horizontal="left" vertical="center" wrapText="1"/>
      <protection locked="0"/>
    </xf>
    <xf numFmtId="0" fontId="34" fillId="0" borderId="0" xfId="0" applyFont="1" applyFill="1" applyAlignment="1">
      <alignment vertical="center" wrapText="1"/>
    </xf>
    <xf numFmtId="0" fontId="34" fillId="0"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0" fontId="0" fillId="25" borderId="1" xfId="0" applyFill="1" applyBorder="1" applyAlignment="1">
      <alignment vertical="center" wrapText="1"/>
    </xf>
    <xf numFmtId="0" fontId="48" fillId="0" borderId="1" xfId="0" applyFont="1" applyBorder="1" applyAlignment="1">
      <alignment horizontal="left" vertical="center" wrapText="1"/>
    </xf>
    <xf numFmtId="0" fontId="48" fillId="0" borderId="1" xfId="0" applyFont="1" applyBorder="1" applyAlignment="1" applyProtection="1">
      <alignment horizontal="center" wrapText="1"/>
      <protection locked="0"/>
    </xf>
    <xf numFmtId="0" fontId="48" fillId="6" borderId="1" xfId="0" applyFont="1" applyFill="1" applyBorder="1" applyAlignment="1" applyProtection="1">
      <alignment horizontal="center" vertical="center" wrapText="1"/>
      <protection locked="0"/>
    </xf>
    <xf numFmtId="0" fontId="48" fillId="27" borderId="1" xfId="0" applyFont="1" applyFill="1" applyBorder="1" applyAlignment="1" applyProtection="1">
      <alignment horizontal="center" vertical="center" wrapText="1"/>
      <protection locked="0"/>
    </xf>
    <xf numFmtId="0" fontId="51" fillId="25" borderId="1" xfId="0" applyFont="1" applyFill="1" applyBorder="1" applyAlignment="1" applyProtection="1">
      <alignment horizontal="center" vertical="center" wrapText="1"/>
      <protection locked="0"/>
    </xf>
    <xf numFmtId="0" fontId="53" fillId="25" borderId="1" xfId="0" applyFont="1" applyFill="1" applyBorder="1" applyAlignment="1" applyProtection="1">
      <alignment horizontal="center" vertical="center" textRotation="90" wrapText="1"/>
      <protection locked="0"/>
    </xf>
    <xf numFmtId="0" fontId="54" fillId="25" borderId="0" xfId="0" applyFont="1" applyFill="1" applyBorder="1" applyAlignment="1" applyProtection="1">
      <alignment horizontal="center" vertical="center" textRotation="90" wrapText="1"/>
      <protection locked="0"/>
    </xf>
    <xf numFmtId="0" fontId="0" fillId="27" borderId="1" xfId="0" applyFill="1" applyBorder="1" applyAlignment="1" applyProtection="1">
      <alignment horizontal="center" vertical="center" wrapText="1"/>
      <protection locked="0"/>
    </xf>
    <xf numFmtId="9" fontId="0" fillId="25" borderId="3" xfId="1" applyFont="1" applyFill="1" applyBorder="1" applyAlignment="1">
      <alignment horizontal="center" vertical="center" wrapText="1"/>
    </xf>
    <xf numFmtId="0" fontId="0" fillId="6" borderId="1" xfId="0" applyFill="1" applyBorder="1" applyAlignment="1" applyProtection="1">
      <alignment horizontal="center" vertical="center" wrapText="1"/>
      <protection locked="0"/>
    </xf>
    <xf numFmtId="0" fontId="48" fillId="7" borderId="1" xfId="0" applyFont="1" applyFill="1" applyBorder="1" applyAlignment="1" applyProtection="1">
      <alignment horizontal="center" vertical="center" wrapText="1"/>
      <protection locked="0"/>
    </xf>
    <xf numFmtId="0" fontId="58" fillId="6" borderId="1" xfId="0" applyFont="1" applyFill="1" applyBorder="1" applyAlignment="1" applyProtection="1">
      <alignment horizontal="center" vertical="center" wrapText="1"/>
      <protection locked="0"/>
    </xf>
    <xf numFmtId="0" fontId="58" fillId="25" borderId="1" xfId="0" applyFont="1" applyFill="1" applyBorder="1" applyAlignment="1" applyProtection="1">
      <alignment horizontal="center" vertical="center" wrapText="1"/>
      <protection locked="0"/>
    </xf>
    <xf numFmtId="9" fontId="34" fillId="25" borderId="1" xfId="1" applyFont="1" applyFill="1" applyBorder="1" applyAlignment="1">
      <alignment horizontal="left" vertical="center" wrapText="1"/>
    </xf>
    <xf numFmtId="9" fontId="5" fillId="0" borderId="0" xfId="1" applyFont="1" applyAlignment="1">
      <alignment horizontal="center" wrapText="1"/>
    </xf>
    <xf numFmtId="9" fontId="48" fillId="25" borderId="1" xfId="0" applyNumberFormat="1" applyFont="1" applyFill="1" applyBorder="1" applyAlignment="1">
      <alignment horizontal="center" vertical="center" wrapText="1"/>
    </xf>
    <xf numFmtId="0" fontId="46" fillId="25" borderId="1" xfId="0" applyFont="1" applyFill="1" applyBorder="1" applyAlignment="1" applyProtection="1">
      <alignment horizontal="center" vertical="center" wrapText="1"/>
      <protection locked="0"/>
    </xf>
    <xf numFmtId="164" fontId="48" fillId="25" borderId="1" xfId="1" applyNumberFormat="1" applyFont="1" applyFill="1" applyBorder="1" applyAlignment="1" applyProtection="1">
      <alignment horizontal="center" vertical="center" wrapText="1"/>
      <protection locked="0"/>
    </xf>
    <xf numFmtId="9" fontId="46" fillId="25" borderId="1" xfId="0" applyNumberFormat="1" applyFont="1" applyFill="1" applyBorder="1" applyAlignment="1">
      <alignment horizontal="center" vertical="center" wrapText="1"/>
    </xf>
    <xf numFmtId="0" fontId="51" fillId="2" borderId="3" xfId="0" applyFont="1" applyFill="1" applyBorder="1" applyAlignment="1">
      <alignment horizontal="center" vertical="center" wrapText="1"/>
    </xf>
    <xf numFmtId="0" fontId="0" fillId="0" borderId="1" xfId="0" applyBorder="1" applyAlignment="1" applyProtection="1">
      <alignment horizontal="justify" vertical="center" wrapText="1"/>
      <protection locked="0"/>
    </xf>
    <xf numFmtId="0" fontId="0" fillId="0" borderId="3" xfId="0"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8" fillId="0" borderId="3" xfId="0" applyFont="1" applyBorder="1" applyAlignment="1" applyProtection="1">
      <alignment horizontal="center" vertical="center" textRotation="90" wrapText="1"/>
      <protection locked="0"/>
    </xf>
    <xf numFmtId="0" fontId="48" fillId="0" borderId="3" xfId="0" applyFont="1" applyBorder="1" applyAlignment="1" applyProtection="1">
      <alignment horizontal="center" vertical="center" wrapText="1"/>
      <protection locked="0"/>
    </xf>
    <xf numFmtId="0" fontId="10" fillId="0" borderId="3" xfId="0" applyFont="1" applyBorder="1" applyAlignment="1">
      <alignment horizontal="center" vertical="center" textRotation="90" wrapText="1"/>
    </xf>
    <xf numFmtId="0" fontId="1" fillId="0" borderId="3" xfId="0" applyFont="1" applyBorder="1" applyAlignment="1" applyProtection="1">
      <alignment horizontal="center" vertical="center" wrapText="1"/>
      <protection locked="0"/>
    </xf>
    <xf numFmtId="0" fontId="53" fillId="0" borderId="3" xfId="0" applyFont="1" applyBorder="1" applyAlignment="1" applyProtection="1">
      <alignment horizontal="center" vertical="center" textRotation="90" wrapText="1"/>
      <protection locked="0"/>
    </xf>
    <xf numFmtId="0" fontId="48" fillId="6" borderId="3"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textRotation="90" wrapText="1"/>
      <protection locked="0"/>
    </xf>
    <xf numFmtId="9" fontId="48" fillId="0" borderId="3" xfId="1" applyFont="1" applyBorder="1" applyAlignment="1" applyProtection="1">
      <alignment horizontal="center" vertical="center" wrapText="1"/>
      <protection locked="0"/>
    </xf>
    <xf numFmtId="0" fontId="48" fillId="0" borderId="3" xfId="0" applyFont="1" applyBorder="1" applyAlignment="1" applyProtection="1">
      <alignment vertical="center" wrapText="1"/>
      <protection locked="0"/>
    </xf>
    <xf numFmtId="0" fontId="52" fillId="2" borderId="24" xfId="0" applyFont="1" applyFill="1" applyBorder="1" applyAlignment="1">
      <alignment horizontal="center" vertical="center" textRotation="90" wrapText="1"/>
    </xf>
    <xf numFmtId="0" fontId="51" fillId="2" borderId="24" xfId="0" applyFont="1" applyFill="1" applyBorder="1" applyAlignment="1">
      <alignment horizontal="center" vertical="center" textRotation="90" wrapText="1"/>
    </xf>
    <xf numFmtId="0" fontId="51" fillId="2" borderId="24" xfId="0" applyFont="1" applyFill="1" applyBorder="1" applyAlignment="1">
      <alignment horizontal="center" vertical="center" wrapText="1"/>
    </xf>
    <xf numFmtId="0" fontId="51" fillId="15" borderId="24" xfId="0" applyFont="1" applyFill="1" applyBorder="1" applyAlignment="1">
      <alignment horizontal="center" vertical="center" wrapText="1"/>
    </xf>
    <xf numFmtId="0" fontId="52" fillId="15" borderId="24" xfId="0" applyFont="1" applyFill="1" applyBorder="1" applyAlignment="1">
      <alignment horizontal="center" vertical="center" textRotation="90" wrapText="1"/>
    </xf>
    <xf numFmtId="0" fontId="51" fillId="15" borderId="24" xfId="0" applyFont="1" applyFill="1" applyBorder="1" applyAlignment="1">
      <alignment horizontal="center" vertical="center" textRotation="90" wrapText="1"/>
    </xf>
    <xf numFmtId="0" fontId="6" fillId="2" borderId="24" xfId="0" applyFont="1" applyFill="1" applyBorder="1" applyAlignment="1">
      <alignment horizontal="center" vertical="center" wrapText="1"/>
    </xf>
    <xf numFmtId="0" fontId="48" fillId="3" borderId="0" xfId="0" applyFont="1" applyFill="1" applyAlignment="1">
      <alignment horizontal="center" vertical="center" wrapText="1"/>
    </xf>
    <xf numFmtId="0" fontId="48" fillId="25" borderId="1" xfId="0" applyFont="1" applyFill="1" applyBorder="1" applyAlignment="1">
      <alignment horizontal="center" vertical="center" wrapText="1"/>
    </xf>
    <xf numFmtId="9" fontId="58" fillId="0" borderId="1" xfId="1" applyFont="1" applyFill="1" applyBorder="1" applyAlignment="1">
      <alignment horizontal="center" vertical="center" wrapText="1"/>
    </xf>
    <xf numFmtId="9" fontId="75" fillId="0" borderId="27" xfId="0" applyNumberFormat="1" applyFont="1" applyBorder="1" applyAlignment="1">
      <alignment horizontal="center" vertical="center" wrapText="1"/>
    </xf>
    <xf numFmtId="0" fontId="76" fillId="0" borderId="0" xfId="0" applyFont="1" applyAlignment="1">
      <alignment horizontal="center" vertical="center" wrapText="1"/>
    </xf>
    <xf numFmtId="9" fontId="77" fillId="0" borderId="0" xfId="0" applyNumberFormat="1" applyFont="1" applyAlignment="1">
      <alignment horizontal="center" vertical="center"/>
    </xf>
    <xf numFmtId="0" fontId="78" fillId="0" borderId="1" xfId="0" applyFont="1" applyBorder="1" applyAlignment="1">
      <alignment horizontal="center" vertical="center" wrapText="1"/>
    </xf>
    <xf numFmtId="0" fontId="79" fillId="0" borderId="3" xfId="0" applyFont="1" applyBorder="1" applyAlignment="1">
      <alignment horizontal="center" vertical="center" wrapText="1"/>
    </xf>
    <xf numFmtId="9" fontId="76" fillId="0" borderId="1" xfId="0" applyNumberFormat="1" applyFont="1" applyBorder="1" applyAlignment="1">
      <alignment horizontal="center" vertical="center"/>
    </xf>
    <xf numFmtId="0" fontId="80" fillId="0" borderId="0" xfId="0" applyFont="1" applyBorder="1" applyAlignment="1" applyProtection="1">
      <alignment horizontal="left" vertical="center" wrapText="1"/>
      <protection locked="0"/>
    </xf>
    <xf numFmtId="0" fontId="0" fillId="0" borderId="0" xfId="0" applyBorder="1" applyAlignment="1" applyProtection="1">
      <alignment horizontal="center" vertical="center" textRotation="90" wrapText="1"/>
      <protection locked="0"/>
    </xf>
    <xf numFmtId="0" fontId="81" fillId="0" borderId="0" xfId="0" applyFont="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13" fillId="0" borderId="1" xfId="0" applyFont="1" applyBorder="1" applyAlignment="1">
      <alignment horizontal="right" vertical="center" wrapText="1"/>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15" borderId="2" xfId="0" applyFont="1" applyFill="1" applyBorder="1" applyAlignment="1">
      <alignment horizontal="center" vertical="center" textRotation="90" wrapText="1"/>
    </xf>
    <xf numFmtId="0" fontId="51" fillId="15" borderId="3" xfId="0" applyFont="1" applyFill="1" applyBorder="1" applyAlignment="1">
      <alignment horizontal="center" vertical="center" textRotation="90" wrapText="1"/>
    </xf>
    <xf numFmtId="0" fontId="51" fillId="2" borderId="1"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51" fillId="2" borderId="71" xfId="0" applyFont="1" applyFill="1" applyBorder="1" applyAlignment="1">
      <alignment horizontal="center" vertical="center" wrapText="1"/>
    </xf>
    <xf numFmtId="0" fontId="51" fillId="2" borderId="72" xfId="0" applyFont="1" applyFill="1" applyBorder="1" applyAlignment="1">
      <alignment horizontal="center" vertical="center" wrapText="1"/>
    </xf>
    <xf numFmtId="0" fontId="50" fillId="0" borderId="32" xfId="0" applyFont="1" applyBorder="1" applyAlignment="1">
      <alignment horizontal="left" vertical="center" wrapText="1"/>
    </xf>
    <xf numFmtId="0" fontId="50" fillId="0" borderId="33" xfId="0" applyFont="1" applyBorder="1" applyAlignment="1">
      <alignment horizontal="left" vertical="center" wrapText="1"/>
    </xf>
    <xf numFmtId="0" fontId="5" fillId="0" borderId="1" xfId="0" applyFont="1" applyBorder="1" applyAlignment="1">
      <alignment horizontal="center" wrapText="1"/>
    </xf>
    <xf numFmtId="0" fontId="15" fillId="0" borderId="1" xfId="0" applyFont="1" applyBorder="1" applyAlignment="1">
      <alignment horizontal="center" vertical="center" wrapText="1"/>
    </xf>
    <xf numFmtId="0" fontId="50" fillId="0" borderId="70" xfId="0" applyFont="1" applyBorder="1" applyAlignment="1" applyProtection="1">
      <alignment horizontal="center" vertical="center" wrapText="1"/>
      <protection locked="0"/>
    </xf>
    <xf numFmtId="0" fontId="50" fillId="0" borderId="33" xfId="0" applyFont="1" applyBorder="1" applyAlignment="1" applyProtection="1">
      <alignment horizontal="center" vertical="center" wrapText="1"/>
      <protection locked="0"/>
    </xf>
    <xf numFmtId="0" fontId="48" fillId="25" borderId="70" xfId="0" applyFont="1" applyFill="1" applyBorder="1" applyAlignment="1" applyProtection="1">
      <alignment horizontal="left" vertical="center" wrapText="1"/>
      <protection locked="0"/>
    </xf>
    <xf numFmtId="0" fontId="48" fillId="25" borderId="33" xfId="0" applyFont="1" applyFill="1" applyBorder="1" applyAlignment="1" applyProtection="1">
      <alignment horizontal="left" vertical="center" wrapText="1"/>
      <protection locked="0"/>
    </xf>
    <xf numFmtId="0" fontId="51" fillId="2" borderId="32" xfId="0" applyFont="1" applyFill="1" applyBorder="1" applyAlignment="1">
      <alignment horizontal="center" vertical="center" wrapText="1"/>
    </xf>
    <xf numFmtId="0" fontId="51" fillId="2" borderId="2" xfId="0" applyFont="1" applyFill="1" applyBorder="1" applyAlignment="1">
      <alignment horizontal="center" vertical="center" textRotation="90" wrapText="1"/>
    </xf>
    <xf numFmtId="0" fontId="51" fillId="2" borderId="3" xfId="0" applyFont="1" applyFill="1" applyBorder="1" applyAlignment="1">
      <alignment horizontal="center" vertical="center" textRotation="90" wrapText="1"/>
    </xf>
    <xf numFmtId="9" fontId="48" fillId="0" borderId="32" xfId="1" applyFont="1" applyBorder="1" applyAlignment="1" applyProtection="1">
      <alignment horizontal="center" vertical="center" wrapText="1"/>
      <protection locked="0"/>
    </xf>
    <xf numFmtId="9" fontId="48" fillId="0" borderId="33" xfId="1"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43" fillId="2" borderId="1" xfId="0" applyFont="1" applyFill="1" applyBorder="1" applyAlignment="1">
      <alignment horizontal="center" vertical="center" textRotation="90" wrapText="1"/>
    </xf>
    <xf numFmtId="0" fontId="52" fillId="2" borderId="1" xfId="0" applyFont="1" applyFill="1" applyBorder="1" applyAlignment="1">
      <alignment horizontal="center" vertical="center" wrapText="1"/>
    </xf>
    <xf numFmtId="0" fontId="13" fillId="0" borderId="32" xfId="0" applyFont="1" applyBorder="1" applyAlignment="1">
      <alignment horizontal="right" vertical="center" wrapText="1"/>
    </xf>
    <xf numFmtId="0" fontId="13" fillId="0" borderId="33" xfId="0" applyFont="1" applyBorder="1" applyAlignment="1">
      <alignment horizontal="right" vertical="center" wrapText="1"/>
    </xf>
    <xf numFmtId="0" fontId="7" fillId="0" borderId="0" xfId="0" applyFont="1" applyBorder="1" applyAlignment="1">
      <alignment horizontal="left" wrapText="1"/>
    </xf>
    <xf numFmtId="0" fontId="7" fillId="0" borderId="28" xfId="0" applyFont="1" applyBorder="1" applyAlignment="1">
      <alignment horizontal="left" wrapText="1"/>
    </xf>
    <xf numFmtId="0" fontId="1" fillId="2" borderId="1" xfId="0" applyFont="1" applyFill="1" applyBorder="1" applyAlignment="1">
      <alignment horizontal="center" vertical="center" wrapText="1"/>
    </xf>
    <xf numFmtId="0" fontId="1" fillId="15" borderId="2" xfId="0" applyFont="1" applyFill="1" applyBorder="1" applyAlignment="1">
      <alignment horizontal="center" vertical="center" textRotation="90" wrapText="1"/>
    </xf>
    <xf numFmtId="0" fontId="1" fillId="15" borderId="3"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48" fillId="25" borderId="70" xfId="0" applyFont="1" applyFill="1" applyBorder="1" applyAlignment="1" applyProtection="1">
      <alignment horizontal="center" vertical="center" wrapText="1"/>
      <protection locked="0"/>
    </xf>
    <xf numFmtId="0" fontId="48" fillId="25" borderId="33" xfId="0" applyFont="1" applyFill="1" applyBorder="1" applyAlignment="1" applyProtection="1">
      <alignment horizontal="center" vertical="center" wrapText="1"/>
      <protection locked="0"/>
    </xf>
    <xf numFmtId="0" fontId="6" fillId="2" borderId="32" xfId="0" applyFont="1" applyFill="1" applyBorder="1" applyAlignment="1">
      <alignment horizontal="center" vertical="center" wrapText="1"/>
    </xf>
    <xf numFmtId="0" fontId="7" fillId="2" borderId="1" xfId="0" applyFont="1" applyFill="1" applyBorder="1" applyAlignment="1">
      <alignment horizontal="center" vertical="center" textRotation="90" wrapText="1"/>
    </xf>
    <xf numFmtId="0" fontId="7" fillId="0" borderId="0" xfId="0" applyFont="1" applyAlignment="1">
      <alignment horizontal="left" wrapText="1"/>
    </xf>
    <xf numFmtId="0" fontId="48" fillId="25" borderId="32" xfId="0" applyFont="1" applyFill="1" applyBorder="1" applyAlignment="1" applyProtection="1">
      <alignment horizontal="left" vertical="center" wrapText="1"/>
      <protection locked="0"/>
    </xf>
    <xf numFmtId="0" fontId="0" fillId="25" borderId="70" xfId="0" applyFont="1" applyFill="1" applyBorder="1" applyAlignment="1" applyProtection="1">
      <alignment horizontal="left" vertical="center" wrapText="1"/>
      <protection locked="0"/>
    </xf>
    <xf numFmtId="0" fontId="0" fillId="25" borderId="33" xfId="0" applyFont="1" applyFill="1" applyBorder="1" applyAlignment="1" applyProtection="1">
      <alignment horizontal="left" vertical="center" wrapText="1"/>
      <protection locked="0"/>
    </xf>
    <xf numFmtId="0" fontId="6" fillId="2" borderId="41" xfId="0" applyFont="1" applyFill="1" applyBorder="1" applyAlignment="1">
      <alignment horizontal="center" vertical="center" textRotation="90" wrapText="1"/>
    </xf>
    <xf numFmtId="0" fontId="6" fillId="2" borderId="24" xfId="0" applyFont="1" applyFill="1" applyBorder="1" applyAlignment="1">
      <alignment horizontal="center" vertical="center" textRotation="90" wrapText="1"/>
    </xf>
    <xf numFmtId="0" fontId="51" fillId="2" borderId="41" xfId="0" applyFont="1" applyFill="1" applyBorder="1" applyAlignment="1">
      <alignment horizontal="center" vertical="center" wrapText="1"/>
    </xf>
    <xf numFmtId="0" fontId="51" fillId="2" borderId="24" xfId="0" applyFont="1" applyFill="1" applyBorder="1" applyAlignment="1">
      <alignment horizontal="center" vertical="center" wrapText="1"/>
    </xf>
    <xf numFmtId="0" fontId="51" fillId="2" borderId="79" xfId="0" applyFont="1" applyFill="1" applyBorder="1" applyAlignment="1">
      <alignment horizontal="center" vertical="center" textRotation="90" wrapText="1"/>
    </xf>
    <xf numFmtId="0" fontId="51" fillId="2" borderId="26" xfId="0" applyFont="1" applyFill="1" applyBorder="1" applyAlignment="1">
      <alignment horizontal="center" vertical="center" textRotation="90" wrapText="1"/>
    </xf>
    <xf numFmtId="0" fontId="51" fillId="2" borderId="79" xfId="0" applyFont="1" applyFill="1" applyBorder="1" applyAlignment="1">
      <alignment horizontal="center" vertical="center" wrapText="1"/>
    </xf>
    <xf numFmtId="0" fontId="51" fillId="2" borderId="26" xfId="0" applyFont="1" applyFill="1" applyBorder="1" applyAlignment="1">
      <alignment horizontal="center" vertical="center" wrapText="1"/>
    </xf>
    <xf numFmtId="0" fontId="51" fillId="2" borderId="80"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51" fillId="15" borderId="79" xfId="0" applyFont="1" applyFill="1" applyBorder="1" applyAlignment="1">
      <alignment horizontal="center" vertical="center" textRotation="90" wrapText="1"/>
    </xf>
    <xf numFmtId="0" fontId="51" fillId="15" borderId="26" xfId="0" applyFont="1" applyFill="1" applyBorder="1" applyAlignment="1">
      <alignment horizontal="center" vertical="center" textRotation="90" wrapText="1"/>
    </xf>
    <xf numFmtId="0" fontId="51" fillId="2" borderId="41" xfId="0" applyFont="1" applyFill="1" applyBorder="1" applyAlignment="1">
      <alignment horizontal="center" vertical="center" textRotation="90" wrapText="1"/>
    </xf>
    <xf numFmtId="0" fontId="51" fillId="2" borderId="24" xfId="0" applyFont="1" applyFill="1" applyBorder="1" applyAlignment="1">
      <alignment horizontal="center" vertical="center" textRotation="90" wrapText="1"/>
    </xf>
    <xf numFmtId="0" fontId="6" fillId="2" borderId="41" xfId="0" applyFont="1" applyFill="1" applyBorder="1" applyAlignment="1">
      <alignment horizontal="center" vertical="center" wrapText="1"/>
    </xf>
    <xf numFmtId="0" fontId="51" fillId="2" borderId="45" xfId="0" applyFont="1" applyFill="1" applyBorder="1" applyAlignment="1">
      <alignment horizontal="center" vertical="center" wrapText="1"/>
    </xf>
    <xf numFmtId="0" fontId="51" fillId="2" borderId="47" xfId="0" applyFont="1" applyFill="1" applyBorder="1" applyAlignment="1">
      <alignment horizontal="center" vertical="center" wrapText="1"/>
    </xf>
    <xf numFmtId="0" fontId="59" fillId="2" borderId="2" xfId="0" applyFont="1" applyFill="1" applyBorder="1" applyAlignment="1">
      <alignment horizontal="center" vertical="center" textRotation="90" wrapText="1"/>
    </xf>
    <xf numFmtId="0" fontId="59" fillId="2" borderId="3" xfId="0" applyFont="1" applyFill="1" applyBorder="1" applyAlignment="1">
      <alignment horizontal="center" vertical="center" textRotation="90" wrapText="1"/>
    </xf>
    <xf numFmtId="0" fontId="59" fillId="15" borderId="2" xfId="0" applyFont="1" applyFill="1" applyBorder="1" applyAlignment="1">
      <alignment horizontal="center" vertical="center" textRotation="90" wrapText="1"/>
    </xf>
    <xf numFmtId="0" fontId="59" fillId="15" borderId="3" xfId="0" applyFont="1" applyFill="1" applyBorder="1" applyAlignment="1">
      <alignment horizontal="center" vertical="center" textRotation="90" wrapText="1"/>
    </xf>
    <xf numFmtId="0" fontId="59" fillId="2" borderId="2"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32" xfId="0" applyFont="1" applyFill="1" applyBorder="1" applyAlignment="1">
      <alignment horizontal="center" vertical="center" wrapText="1"/>
    </xf>
    <xf numFmtId="0" fontId="59" fillId="2" borderId="33" xfId="0" applyFont="1" applyFill="1" applyBorder="1" applyAlignment="1">
      <alignment horizontal="center" vertical="center" wrapText="1"/>
    </xf>
    <xf numFmtId="0" fontId="7" fillId="2" borderId="2" xfId="0" applyFont="1" applyFill="1" applyBorder="1" applyAlignment="1">
      <alignment horizontal="center" vertical="center" textRotation="90" wrapText="1"/>
    </xf>
    <xf numFmtId="0" fontId="7" fillId="2" borderId="3"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67" fillId="0" borderId="1" xfId="0" applyFont="1" applyBorder="1" applyAlignment="1">
      <alignment horizontal="center" vertical="center" textRotation="90" wrapText="1"/>
    </xf>
    <xf numFmtId="0" fontId="66" fillId="0" borderId="1" xfId="0" applyFont="1" applyBorder="1" applyAlignment="1">
      <alignment horizontal="center" vertical="center" wrapText="1"/>
    </xf>
    <xf numFmtId="0" fontId="16" fillId="25" borderId="1" xfId="0" applyFont="1" applyFill="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4" fillId="20" borderId="2" xfId="0" applyFont="1" applyFill="1" applyBorder="1" applyAlignment="1">
      <alignment horizontal="center" vertical="center" textRotation="90" wrapText="1"/>
    </xf>
    <xf numFmtId="0" fontId="14" fillId="20" borderId="25" xfId="0" applyFont="1" applyFill="1" applyBorder="1" applyAlignment="1">
      <alignment horizontal="center" vertical="center" textRotation="90" wrapText="1"/>
    </xf>
    <xf numFmtId="0" fontId="6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20" borderId="3" xfId="0" applyFont="1" applyFill="1" applyBorder="1" applyAlignment="1">
      <alignment horizontal="center" vertical="center" textRotation="90" wrapText="1"/>
    </xf>
    <xf numFmtId="0" fontId="34" fillId="0" borderId="55" xfId="0" applyFont="1" applyBorder="1" applyAlignment="1">
      <alignment horizontal="center" vertical="center"/>
    </xf>
    <xf numFmtId="0" fontId="0" fillId="0" borderId="55" xfId="0" applyBorder="1" applyAlignment="1">
      <alignment horizontal="center" vertical="center"/>
    </xf>
    <xf numFmtId="0" fontId="14" fillId="0" borderId="2" xfId="0" applyFont="1" applyBorder="1" applyAlignment="1">
      <alignment horizontal="center" vertical="center" textRotation="90" wrapText="1"/>
    </xf>
    <xf numFmtId="0" fontId="14" fillId="0" borderId="25"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77" xfId="0" applyFont="1" applyBorder="1" applyAlignment="1">
      <alignment horizontal="center" vertical="center" textRotation="90" wrapText="1"/>
    </xf>
    <xf numFmtId="0" fontId="14" fillId="0" borderId="78" xfId="0" applyFont="1" applyBorder="1" applyAlignment="1">
      <alignment horizontal="center" vertical="center" textRotation="90" wrapText="1"/>
    </xf>
    <xf numFmtId="0" fontId="14" fillId="0" borderId="3" xfId="0" applyFont="1" applyBorder="1" applyAlignment="1">
      <alignment horizontal="center" vertical="center" textRotation="90" wrapText="1"/>
    </xf>
    <xf numFmtId="0" fontId="14" fillId="0" borderId="2" xfId="0" applyFont="1" applyFill="1" applyBorder="1" applyAlignment="1">
      <alignment horizontal="center" vertical="center" textRotation="90" wrapText="1"/>
    </xf>
    <xf numFmtId="0" fontId="14" fillId="0" borderId="25" xfId="0" applyFont="1" applyFill="1" applyBorder="1" applyAlignment="1">
      <alignment horizontal="center" vertical="center" textRotation="90" wrapText="1"/>
    </xf>
    <xf numFmtId="0" fontId="14" fillId="0" borderId="3" xfId="0" applyFont="1" applyFill="1" applyBorder="1" applyAlignment="1">
      <alignment horizontal="center" vertical="center" textRotation="90" wrapText="1"/>
    </xf>
    <xf numFmtId="0" fontId="14" fillId="0" borderId="1" xfId="0" applyFont="1" applyBorder="1" applyAlignment="1">
      <alignment horizontal="center" vertical="center" textRotation="90" wrapText="1"/>
    </xf>
    <xf numFmtId="0" fontId="70" fillId="25" borderId="56" xfId="0" applyFont="1" applyFill="1" applyBorder="1" applyAlignment="1">
      <alignment vertical="center" wrapText="1"/>
    </xf>
    <xf numFmtId="0" fontId="10" fillId="0" borderId="0" xfId="0" applyFont="1" applyAlignment="1">
      <alignment vertical="center" wrapText="1"/>
    </xf>
    <xf numFmtId="43" fontId="10" fillId="0" borderId="0" xfId="3" applyFont="1" applyAlignment="1">
      <alignment vertical="top" wrapText="1"/>
    </xf>
    <xf numFmtId="0" fontId="10" fillId="0" borderId="44"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2" xfId="0" applyFont="1" applyBorder="1" applyAlignment="1">
      <alignment horizontal="center" vertical="center" textRotation="90" wrapText="1"/>
    </xf>
    <xf numFmtId="0" fontId="12" fillId="0" borderId="3" xfId="0" applyFont="1" applyBorder="1" applyAlignment="1">
      <alignment horizontal="center" vertical="center" textRotation="90" wrapText="1"/>
    </xf>
    <xf numFmtId="0" fontId="16" fillId="0" borderId="1" xfId="0" applyFont="1" applyBorder="1" applyAlignment="1">
      <alignment horizontal="center" vertical="center" wrapText="1"/>
    </xf>
    <xf numFmtId="0" fontId="5" fillId="0" borderId="0" xfId="0" applyFont="1" applyAlignment="1">
      <alignment horizontal="center" wrapText="1"/>
    </xf>
    <xf numFmtId="0" fontId="14" fillId="0" borderId="0" xfId="0" applyFont="1" applyAlignment="1">
      <alignment horizontal="center" vertical="center" textRotation="90" wrapText="1"/>
    </xf>
    <xf numFmtId="0" fontId="14" fillId="0" borderId="0" xfId="0" applyFont="1" applyAlignment="1">
      <alignment horizontal="center" vertical="center" wrapText="1"/>
    </xf>
    <xf numFmtId="0" fontId="46" fillId="0" borderId="0" xfId="0" applyFont="1" applyAlignment="1">
      <alignment vertical="center" wrapText="1"/>
    </xf>
    <xf numFmtId="0" fontId="18"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9" fillId="11" borderId="15" xfId="0" applyFont="1" applyFill="1" applyBorder="1" applyAlignment="1">
      <alignment horizontal="center" vertical="center"/>
    </xf>
    <xf numFmtId="0" fontId="9" fillId="11" borderId="16" xfId="0" applyFont="1" applyFill="1" applyBorder="1" applyAlignment="1">
      <alignment horizontal="center" vertical="center"/>
    </xf>
    <xf numFmtId="0" fontId="9" fillId="12" borderId="15" xfId="0" applyFont="1" applyFill="1" applyBorder="1" applyAlignment="1">
      <alignment horizontal="center" vertical="center"/>
    </xf>
    <xf numFmtId="0" fontId="9" fillId="12" borderId="23" xfId="0" applyFont="1" applyFill="1" applyBorder="1" applyAlignment="1">
      <alignment horizontal="center" vertical="center"/>
    </xf>
    <xf numFmtId="0" fontId="9" fillId="12" borderId="16" xfId="0" applyFont="1" applyFill="1" applyBorder="1" applyAlignment="1">
      <alignment horizontal="center" vertical="center"/>
    </xf>
    <xf numFmtId="0" fontId="9"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1" fillId="9" borderId="34" xfId="0" applyFont="1" applyFill="1" applyBorder="1" applyAlignment="1">
      <alignment horizontal="center" vertical="center"/>
    </xf>
    <xf numFmtId="0" fontId="1" fillId="9" borderId="1" xfId="0" applyFont="1" applyFill="1" applyBorder="1" applyAlignment="1">
      <alignment horizontal="center" vertical="center"/>
    </xf>
    <xf numFmtId="0" fontId="21" fillId="13" borderId="40" xfId="0" applyFont="1" applyFill="1" applyBorder="1" applyAlignment="1">
      <alignment horizontal="center" vertical="center" textRotation="90"/>
    </xf>
    <xf numFmtId="0" fontId="21" fillId="13" borderId="30" xfId="0" applyFont="1" applyFill="1" applyBorder="1" applyAlignment="1">
      <alignment horizontal="center" vertical="center" textRotation="90"/>
    </xf>
    <xf numFmtId="0" fontId="21" fillId="13" borderId="29" xfId="0" applyFont="1" applyFill="1" applyBorder="1" applyAlignment="1">
      <alignment horizontal="center" vertical="center" textRotation="90"/>
    </xf>
    <xf numFmtId="0" fontId="22" fillId="13" borderId="9" xfId="0" applyFont="1" applyFill="1" applyBorder="1" applyAlignment="1">
      <alignment horizontal="center" vertical="center"/>
    </xf>
    <xf numFmtId="0" fontId="22" fillId="13" borderId="10" xfId="0" applyFont="1" applyFill="1" applyBorder="1" applyAlignment="1">
      <alignment horizontal="center" vertical="center"/>
    </xf>
    <xf numFmtId="0" fontId="22" fillId="13" borderId="11" xfId="0" applyFont="1" applyFill="1" applyBorder="1" applyAlignment="1">
      <alignment horizontal="center" vertical="center"/>
    </xf>
    <xf numFmtId="0" fontId="22" fillId="13" borderId="12" xfId="0" applyFont="1" applyFill="1" applyBorder="1" applyAlignment="1">
      <alignment horizontal="center" vertical="center"/>
    </xf>
    <xf numFmtId="0" fontId="2" fillId="9" borderId="1" xfId="0" applyFont="1" applyFill="1" applyBorder="1" applyAlignment="1">
      <alignment horizontal="center" vertical="center"/>
    </xf>
    <xf numFmtId="0" fontId="11" fillId="10" borderId="11" xfId="0" applyFont="1" applyFill="1" applyBorder="1" applyAlignment="1">
      <alignment horizontal="center" vertical="center" textRotation="90"/>
    </xf>
    <xf numFmtId="0" fontId="11" fillId="10" borderId="13" xfId="0" applyFont="1" applyFill="1" applyBorder="1" applyAlignment="1">
      <alignment horizontal="center" vertical="center" textRotation="90"/>
    </xf>
    <xf numFmtId="0" fontId="11" fillId="10" borderId="21" xfId="0" applyFont="1" applyFill="1" applyBorder="1" applyAlignment="1">
      <alignment horizontal="center" vertical="center"/>
    </xf>
    <xf numFmtId="0" fontId="11" fillId="10" borderId="10"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32" xfId="0" applyFont="1" applyFill="1" applyBorder="1" applyAlignment="1">
      <alignment horizontal="center" vertical="center"/>
    </xf>
    <xf numFmtId="0" fontId="9" fillId="9" borderId="32" xfId="0" applyFont="1" applyFill="1" applyBorder="1" applyAlignment="1">
      <alignment horizontal="center" vertical="center"/>
    </xf>
    <xf numFmtId="0" fontId="3" fillId="0" borderId="45" xfId="0" applyFont="1" applyBorder="1" applyAlignment="1">
      <alignment horizontal="center" vertical="center" textRotation="90" wrapText="1"/>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21" fillId="0" borderId="0" xfId="0" applyFont="1" applyAlignment="1">
      <alignment horizontal="center" vertical="center"/>
    </xf>
    <xf numFmtId="0" fontId="21" fillId="0" borderId="0" xfId="0" applyFont="1" applyAlignment="1">
      <alignment horizontal="center" vertical="center" textRotation="90"/>
    </xf>
    <xf numFmtId="0" fontId="42" fillId="20" borderId="59" xfId="0" applyFont="1" applyFill="1" applyBorder="1" applyAlignment="1">
      <alignment horizontal="center" vertical="center"/>
    </xf>
    <xf numFmtId="0" fontId="42" fillId="20" borderId="60" xfId="0" applyFont="1" applyFill="1" applyBorder="1" applyAlignment="1">
      <alignment horizontal="center" vertical="center"/>
    </xf>
    <xf numFmtId="0" fontId="42" fillId="20" borderId="61" xfId="0" applyFont="1" applyFill="1" applyBorder="1" applyAlignment="1">
      <alignment horizontal="center" vertical="center"/>
    </xf>
    <xf numFmtId="0" fontId="3" fillId="20" borderId="9" xfId="0" applyFont="1" applyFill="1" applyBorder="1" applyAlignment="1">
      <alignment horizontal="center" vertical="center" wrapText="1"/>
    </xf>
    <xf numFmtId="0" fontId="3" fillId="20" borderId="21"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0" borderId="0" xfId="0" applyFont="1" applyFill="1" applyBorder="1" applyAlignment="1">
      <alignment horizontal="center" vertical="center" wrapText="1"/>
    </xf>
    <xf numFmtId="0" fontId="21" fillId="21" borderId="21" xfId="0" applyFont="1" applyFill="1" applyBorder="1" applyAlignment="1">
      <alignment horizontal="center" vertical="center"/>
    </xf>
    <xf numFmtId="0" fontId="21" fillId="21" borderId="10" xfId="0" applyFont="1" applyFill="1" applyBorder="1" applyAlignment="1">
      <alignment horizontal="center" vertical="center"/>
    </xf>
    <xf numFmtId="0" fontId="21" fillId="15" borderId="11" xfId="0" applyFont="1" applyFill="1" applyBorder="1" applyAlignment="1">
      <alignment horizontal="center" vertical="center" textRotation="90"/>
    </xf>
    <xf numFmtId="0" fontId="21" fillId="15" borderId="13" xfId="0" applyFont="1" applyFill="1" applyBorder="1" applyAlignment="1">
      <alignment horizontal="center" vertical="center" textRotation="90"/>
    </xf>
    <xf numFmtId="0" fontId="22" fillId="22" borderId="9" xfId="0" applyFont="1" applyFill="1" applyBorder="1" applyAlignment="1">
      <alignment horizontal="center" vertical="center"/>
    </xf>
    <xf numFmtId="0" fontId="22" fillId="22" borderId="10" xfId="0" applyFont="1" applyFill="1" applyBorder="1" applyAlignment="1">
      <alignment horizontal="center" vertical="center"/>
    </xf>
    <xf numFmtId="0" fontId="22" fillId="22" borderId="11" xfId="0" applyFont="1" applyFill="1" applyBorder="1" applyAlignment="1">
      <alignment horizontal="center" vertical="center"/>
    </xf>
    <xf numFmtId="0" fontId="22" fillId="22" borderId="12" xfId="0" applyFont="1" applyFill="1" applyBorder="1" applyAlignment="1">
      <alignment horizontal="center" vertical="center"/>
    </xf>
    <xf numFmtId="0" fontId="21" fillId="22" borderId="40" xfId="0" applyFont="1" applyFill="1" applyBorder="1" applyAlignment="1">
      <alignment horizontal="center" vertical="center" textRotation="90"/>
    </xf>
    <xf numFmtId="0" fontId="21" fillId="22" borderId="30" xfId="0" applyFont="1" applyFill="1" applyBorder="1" applyAlignment="1">
      <alignment horizontal="center" vertical="center" textRotation="90"/>
    </xf>
    <xf numFmtId="0" fontId="21" fillId="22" borderId="29" xfId="0" applyFont="1" applyFill="1" applyBorder="1" applyAlignment="1">
      <alignment horizontal="center" vertical="center" textRotation="90"/>
    </xf>
    <xf numFmtId="0" fontId="21" fillId="23" borderId="40" xfId="0" applyFont="1" applyFill="1" applyBorder="1" applyAlignment="1">
      <alignment horizontal="center" vertical="center" textRotation="90"/>
    </xf>
    <xf numFmtId="0" fontId="21" fillId="23" borderId="30" xfId="0" applyFont="1" applyFill="1" applyBorder="1" applyAlignment="1">
      <alignment horizontal="center" vertical="center" textRotation="90"/>
    </xf>
    <xf numFmtId="0" fontId="21" fillId="23" borderId="29" xfId="0" applyFont="1" applyFill="1" applyBorder="1" applyAlignment="1">
      <alignment horizontal="center" vertical="center" textRotation="90"/>
    </xf>
  </cellXfs>
  <cellStyles count="6">
    <cellStyle name="Millares" xfId="3" builtinId="3"/>
    <cellStyle name="Millares 2" xfId="5" xr:uid="{00000000-0005-0000-0000-000001000000}"/>
    <cellStyle name="Normal" xfId="0" builtinId="0"/>
    <cellStyle name="Normal 2" xfId="4" xr:uid="{00000000-0005-0000-0000-000003000000}"/>
    <cellStyle name="Normal 4" xfId="2" xr:uid="{00000000-0005-0000-0000-000004000000}"/>
    <cellStyle name="Porcentaje" xfId="1" builtinId="5"/>
  </cellStyles>
  <dxfs count="743">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colors>
    <mruColors>
      <color rgb="FFFB2539"/>
      <color rgb="FFCCFF99"/>
      <color rgb="FFCCFF66"/>
      <color rgb="FFCC0000"/>
      <color rgb="FFFF3300"/>
      <color rgb="FFFF6600"/>
      <color rgb="FF669900"/>
      <color rgb="FFF79646"/>
      <color rgb="FFFF00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t>Clasificación</a:t>
            </a:r>
            <a:r>
              <a:rPr lang="es-CO" sz="1800" b="1" baseline="0"/>
              <a:t> de los Riesgos</a:t>
            </a:r>
            <a:endParaRPr lang="es-CO" sz="1800" b="1"/>
          </a:p>
        </c:rich>
      </c:tx>
      <c:layout>
        <c:manualLayout>
          <c:xMode val="edge"/>
          <c:yMode val="edge"/>
          <c:x val="0.32462229330708664"/>
          <c:y val="6.7045130210940981E-2"/>
        </c:manualLayout>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94-4BD8-86E9-2905EA2D30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94-4BD8-86E9-2905EA2D30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94-4BD8-86E9-2905EA2D30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94-4BD8-86E9-2905EA2D30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94-4BD8-86E9-2905EA2D30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94-4BD8-86E9-2905EA2D3072}"/>
              </c:ext>
            </c:extLst>
          </c:dPt>
          <c:dLbls>
            <c:dLbl>
              <c:idx val="0"/>
              <c:layout>
                <c:manualLayout>
                  <c:x val="-8.9030238407699094E-2"/>
                  <c:y val="0.1668654008982037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94-4BD8-86E9-2905EA2D3072}"/>
                </c:ext>
              </c:extLst>
            </c:dLbl>
            <c:dLbl>
              <c:idx val="1"/>
              <c:layout>
                <c:manualLayout>
                  <c:x val="-0.19476090879265093"/>
                  <c:y val="1.21130813103993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layout>
                <c:manualLayout>
                  <c:x val="-6.2495693897637795E-2"/>
                  <c:y val="-0.197938102546182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layout>
                <c:manualLayout>
                  <c:x val="0.21749008912948384"/>
                  <c:y val="-7.1831610969993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layout>
                <c:manualLayout>
                  <c:x val="-2.0449897750511266E-2"/>
                  <c:y val="2.3688027141867483E-2"/>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11349693251533742"/>
                      <c:h val="9.9759191117916174E-2"/>
                    </c:manualLayout>
                  </c15:layout>
                </c:ext>
                <c:ext xmlns:c16="http://schemas.microsoft.com/office/drawing/2014/chart" uri="{C3380CC4-5D6E-409C-BE32-E72D297353CC}">
                  <c16:uniqueId val="{00000009-5494-4BD8-86E9-2905EA2D3072}"/>
                </c:ext>
              </c:extLst>
            </c:dLbl>
            <c:dLbl>
              <c:idx val="5"/>
              <c:layout>
                <c:manualLayout>
                  <c:x val="0.12289916885389326"/>
                  <c:y val="0.161829097416216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4</c:v>
                </c:pt>
                <c:pt idx="1">
                  <c:v>17</c:v>
                </c:pt>
                <c:pt idx="2">
                  <c:v>15</c:v>
                </c:pt>
                <c:pt idx="3">
                  <c:v>21</c:v>
                </c:pt>
                <c:pt idx="4">
                  <c:v>2</c:v>
                </c:pt>
                <c:pt idx="5">
                  <c:v>11</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27213</xdr:colOff>
      <xdr:row>0</xdr:row>
      <xdr:rowOff>122464</xdr:rowOff>
    </xdr:from>
    <xdr:to>
      <xdr:col>2</xdr:col>
      <xdr:colOff>1115786</xdr:colOff>
      <xdr:row>2</xdr:row>
      <xdr:rowOff>176893</xdr:rowOff>
    </xdr:to>
    <xdr:pic>
      <xdr:nvPicPr>
        <xdr:cNvPr id="3" name="Imagen 3" descr="Ultimo Logo Roberto Quintero Villa a colo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177" y="122464"/>
          <a:ext cx="2762252" cy="734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3" name="Imagen 2" descr="Ultimo Logo Roberto Quintero Villa a color">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85" y="150915"/>
          <a:ext cx="2682340" cy="1029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6" name="Imagen 5" descr="Ultimo Logo Roberto Quintero Villa a color">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85" y="150915"/>
          <a:ext cx="2682340" cy="953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3" name="Imagen 2" descr="Ultimo Logo Roberto Quintero Villa a color">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85" y="150915"/>
          <a:ext cx="2682340" cy="629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2" name="Imagen 1" descr="Ultimo Logo Roberto Quintero Villa a color">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85" y="150915"/>
          <a:ext cx="2682340" cy="1029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2" name="Imagen 1" descr="Ultimo Logo Roberto Quintero Villa a color">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85" y="150915"/>
          <a:ext cx="2682340" cy="858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2" name="Imagen 1" descr="Ultimo Logo Roberto Quintero Villa a color">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285" y="150915"/>
          <a:ext cx="2682340" cy="763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53</xdr:col>
      <xdr:colOff>190500</xdr:colOff>
      <xdr:row>0</xdr:row>
      <xdr:rowOff>547686</xdr:rowOff>
    </xdr:from>
    <xdr:to>
      <xdr:col>62</xdr:col>
      <xdr:colOff>647700</xdr:colOff>
      <xdr:row>15</xdr:row>
      <xdr:rowOff>304800</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190498</xdr:colOff>
      <xdr:row>0</xdr:row>
      <xdr:rowOff>95250</xdr:rowOff>
    </xdr:from>
    <xdr:to>
      <xdr:col>2</xdr:col>
      <xdr:colOff>1279071</xdr:colOff>
      <xdr:row>2</xdr:row>
      <xdr:rowOff>149679</xdr:rowOff>
    </xdr:to>
    <xdr:pic>
      <xdr:nvPicPr>
        <xdr:cNvPr id="5" name="Imagen 3" descr="Ultimo Logo Roberto Quintero Villa a color">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462" y="95250"/>
          <a:ext cx="253093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190498</xdr:colOff>
      <xdr:row>0</xdr:row>
      <xdr:rowOff>95250</xdr:rowOff>
    </xdr:from>
    <xdr:to>
      <xdr:col>2</xdr:col>
      <xdr:colOff>1279071</xdr:colOff>
      <xdr:row>2</xdr:row>
      <xdr:rowOff>149679</xdr:rowOff>
    </xdr:to>
    <xdr:pic>
      <xdr:nvPicPr>
        <xdr:cNvPr id="3" name="Imagen 3" descr="Ultimo Logo Roberto Quintero Villa a color">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3" y="95250"/>
          <a:ext cx="2536373" cy="702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190498</xdr:colOff>
      <xdr:row>0</xdr:row>
      <xdr:rowOff>163286</xdr:rowOff>
    </xdr:from>
    <xdr:to>
      <xdr:col>2</xdr:col>
      <xdr:colOff>1279071</xdr:colOff>
      <xdr:row>2</xdr:row>
      <xdr:rowOff>217715</xdr:rowOff>
    </xdr:to>
    <xdr:pic>
      <xdr:nvPicPr>
        <xdr:cNvPr id="3" name="Imagen 3" descr="Ultimo Logo Roberto Quintero Villa a color">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462" y="163286"/>
          <a:ext cx="2530930" cy="81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122462</xdr:colOff>
      <xdr:row>0</xdr:row>
      <xdr:rowOff>163286</xdr:rowOff>
    </xdr:from>
    <xdr:to>
      <xdr:col>2</xdr:col>
      <xdr:colOff>1129393</xdr:colOff>
      <xdr:row>2</xdr:row>
      <xdr:rowOff>186989</xdr:rowOff>
    </xdr:to>
    <xdr:pic>
      <xdr:nvPicPr>
        <xdr:cNvPr id="3" name="Imagen 3" descr="Ultimo Logo Roberto Quintero Villa a colo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26" y="163286"/>
          <a:ext cx="2449288" cy="921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122462</xdr:colOff>
      <xdr:row>0</xdr:row>
      <xdr:rowOff>163286</xdr:rowOff>
    </xdr:from>
    <xdr:to>
      <xdr:col>2</xdr:col>
      <xdr:colOff>1283347</xdr:colOff>
      <xdr:row>2</xdr:row>
      <xdr:rowOff>244929</xdr:rowOff>
    </xdr:to>
    <xdr:pic>
      <xdr:nvPicPr>
        <xdr:cNvPr id="3" name="Imagen 3" descr="Ultimo Logo Roberto Quintero Villa a color">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787" y="163286"/>
          <a:ext cx="2608685" cy="976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81642</xdr:colOff>
      <xdr:row>0</xdr:row>
      <xdr:rowOff>81642</xdr:rowOff>
    </xdr:from>
    <xdr:to>
      <xdr:col>2</xdr:col>
      <xdr:colOff>1251859</xdr:colOff>
      <xdr:row>2</xdr:row>
      <xdr:rowOff>166212</xdr:rowOff>
    </xdr:to>
    <xdr:pic>
      <xdr:nvPicPr>
        <xdr:cNvPr id="4" name="Imagen 3" descr="Ultimo Logo Roberto Quintero Villa a colo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06" y="81642"/>
          <a:ext cx="2612574" cy="819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1520452</xdr:colOff>
      <xdr:row>2</xdr:row>
      <xdr:rowOff>346364</xdr:rowOff>
    </xdr:to>
    <xdr:pic>
      <xdr:nvPicPr>
        <xdr:cNvPr id="3" name="Imagen 2" descr="Ultimo Logo Roberto Quintero Villa a color">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687" y="150915"/>
          <a:ext cx="2876220" cy="1269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98960</xdr:colOff>
      <xdr:row>0</xdr:row>
      <xdr:rowOff>150915</xdr:rowOff>
    </xdr:from>
    <xdr:to>
      <xdr:col>2</xdr:col>
      <xdr:colOff>1333500</xdr:colOff>
      <xdr:row>2</xdr:row>
      <xdr:rowOff>304383</xdr:rowOff>
    </xdr:to>
    <xdr:pic>
      <xdr:nvPicPr>
        <xdr:cNvPr id="3" name="Imagen 2" descr="Ultimo Logo Roberto Quintero Villa a color">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687" y="150915"/>
          <a:ext cx="2689268" cy="1019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control/Documents/GESTI&#211;N%20DEL%20RIESGO/Gesti&#243;n%20del%20riesgo%202019/Seguimiento%20Plan%20de%20acci&#243;n%20y%20mapa%20de%20riesgos/SEGUIMIENTO%20MAPA%20DE%20RIESGOS/CONTROL%20INTERNO/Seguimiento%20Mapa%20de%20Riesgos%20Control%20Interno%20SEM%201%20-%202019.xlsx?2CB5EDCE" TargetMode="External"/><Relationship Id="rId1" Type="http://schemas.openxmlformats.org/officeDocument/2006/relationships/externalLinkPath" Target="file:///\\2CB5EDCE\Seguimiento%20Mapa%20de%20Riesgos%20Control%20Interno%20SEM%201%20-%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Volumes/GoogleDrive/Mi%20unidad/COVID%20REPS/FEBRERO%202021/04%20FEBRERO/C:/Users/user1/Downloads/Mapa%20de%20Riesgos%20sistemas%20%202019%20primer%20semestre%20(1).xlsx"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Users/control/Documents/GESTI&#211;N%20DEL%20RIESGO/Gesti&#243;n%20del%20riesgo%202019/Seguimiento%20Plan%20de%20acci&#243;n%20y%20mapa%20de%20riesgos/SEGUIMIENTO%20MAPA%20DE%20RIESGOS/FINANCIERA/Copia%20de%20Mapa%20de%20Riesgos%20%20y%20seguimiento%20ajustado%20ACTUALIZADO%20entregado%2024-07-2019.xlsx?490E6253" TargetMode="External"/><Relationship Id="rId1" Type="http://schemas.openxmlformats.org/officeDocument/2006/relationships/externalLinkPath" Target="file:///\\490E6253\Copia%20de%20Mapa%20de%20Riesgos%20%20y%20seguimiento%20ajustado%20ACTUALIZADO%20entregado%2024-07-2019.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Volumes/GoogleDrive/Mi%20unidad/COVID%20REPS/FEBRERO%202021/04%20FEBRERO/E:/PLANEACI&#211;N%20HRQV/MAPA%20DE%20RIESGOS/EVALUACI&#211;N%20I%20SEMESTRE/SEGUIMIENTO%20MAPA%20DE%20RIESGOS/FINANCIERA/Copia%20de%20Mapa%20de%20Riesgos%20%20y%20seguimiento%20ajustado%20ACTUALIZADO%20entregado%2024-07-2019.xlsx?440B4D01" TargetMode="External"/><Relationship Id="rId1" Type="http://schemas.openxmlformats.org/officeDocument/2006/relationships/externalLinkPath" Target="file:///\\440B4D01\Copia%20de%20Mapa%20de%20Riesgos%20%20y%20seguimiento%20ajustado%20ACTUALIZADO%20entregado%2024-07-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ontrol/Documents/GESTI&#211;N%20DEL%20RIESGO/Gesti&#243;n%20del%20riesgo%202019/Seguimiento%20Plan%20de%20acci&#243;n%20y%20mapa%20de%20riesgos/SEGUIMIENTO%20MAPA%20DE%20RIESGOS/ALMAC&#201;N/Mapa%20de%20Riesgo%20%20y%20seguimiento%20%202019%20ALMACE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Volumes/GoogleDrive/Mi%20unidad/COVID%20REPS/FEBRERO%202021/04%20FEBRERO/E:/PLANEACI&#211;N%20HRQV/MAPA%20DE%20RIESGOS/SEGUIMIENTO%20MAPA%20DE%20RIESGOS/ALMAC&#201;N/Mapa%20de%20Riesgo%20%20y%20seguimiento%20%202019%20ALMACE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ON%20RQV%202020/SEGUIMIENTO%20MAPA%20DE%20RIESGOS/SEGUIMIENTO%20MAPA%20DE%20RIESGOS/EVALUACI&#211;N%20I%20SEMESTRE/SEGUIMIENTO%20MAPA%20DE%20RIESGOS/SISTEMAS/EVALUACI&#211;N%20LUZ%20EMILIA%20INFORMACI&#211;N%202019.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Volumes/GoogleDrive/Mi%20unidad/COVID%20REPS/FEBRERO%202021/04%20FEBRERO/D:/PLANEACION%20RQV%202020/SEGUIMIENTO%20MAPA%20DE%20RIESGOS/SEGUIMIENTO%20MAPA%20DE%20RIESGOS/EVALUACI&#211;N%20I%20SEMESTRE/SEGUIMIENTO%20MAPA%20DE%20RIESGOS/SISTEMAS/EVALUACI&#211;N%20LUZ%20EMILIA%20INFORMACI&#211;N%202019.xlsx?514E46AB" TargetMode="External"/><Relationship Id="rId1" Type="http://schemas.openxmlformats.org/officeDocument/2006/relationships/externalLinkPath" Target="file:///\\514E46AB\EVALUACI&#211;N%20LUZ%20EMILIA%20INFORMACI&#211;N%20201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olumes/GoogleDrive/Mi%20unidad/COVID%20REPS/FEBRERO%202021/04%20FEBRERO/E:/PLANEACI&#211;N%20HRQV/MAPA%20DE%20RIESGOS/EVALUACI&#211;N%20I%20SEMESTRE/SEGUIMIENTO%20MAPA%20DE%20RIESGOS/CONTROL%20INTERNO/Seguimiento%20Mapa%20de%20Riesgos%20Control%20Interno%20SEM%201%20-%202019.xlsx?55F9D43D" TargetMode="External"/><Relationship Id="rId1" Type="http://schemas.openxmlformats.org/officeDocument/2006/relationships/externalLinkPath" Target="file:///\\55F9D43D\Seguimiento%20Mapa%20de%20Riesgos%20Control%20Interno%20SEM%201%20-%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ntrol/Documents/GESTI&#211;N%20DEL%20RIESGO/Gesti&#243;n%20del%20riesgo%202019/Seguimiento%20Plan%20de%20acci&#243;n%20y%20mapa%20de%20riesgos/SEGUIMIENTO%20MAPA%20DE%20RIESGOS/JUR&#205;DICA/Mapa%20de%20Riesgos%20%20seguimiento%20primer%20semestre%20I%20%202019%20JUR&#205;DICA.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Volumes/GoogleDrive/Mi%20unidad/COVID%20REPS/FEBRERO%202021/04%20FEBRERO/E:/PLANEACI&#211;N%20HRQV/MAPA%20DE%20RIESGOS/EVALUACI&#211;N%20I%20SEMESTRE/SEGUIMIENTO%20MAPA%20DE%20RIESGOS/JUR&#205;DICA/Mapa%20de%20Riesgos%20%20seguimiento%20primer%20semestre%20I%20%202019%20JUR&#205;DICA.xlsx?64884007" TargetMode="External"/><Relationship Id="rId1" Type="http://schemas.openxmlformats.org/officeDocument/2006/relationships/externalLinkPath" Target="file:///\\64884007\Mapa%20de%20Riesgos%20%20seguimiento%20primer%20semestre%20I%20%202019%20JUR&#205;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ontrol/Documents/GESTI&#211;N%20DEL%20RIESGO/Gesti&#243;n%20del%20riesgo%202019/Seguimiento%20Plan%20de%20acci&#243;n%20y%20mapa%20de%20riesgos/SEGUIMIENTO%20MAPA%20DE%20RIESGOS/CALIDAD/Mapa%20de%20Riesgos%20%20y%20seguimiento%20Administrativ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olumes/GoogleDrive/Mi%20unidad/COVID%20REPS/FEBRERO%202021/04%20FEBRERO/E:/PLANEACI&#211;N%20HRQV/MAPA%20DE%20RIESGOS/EVALUACI&#211;N%20I%20SEMESTRE/SEGUIMIENTO%20MAPA%20DE%20RIESGOS/CALIDAD/Mapa%20de%20Riesgos%20%20y%20seguimiento%20Administrativos%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ontrol/Documents/GESTI&#211;N%20DEL%20RIESGO/Gesti&#243;n%20del%20riesgo%202019/Mapa%20de%20Riesgos%20IV%20trimestre%202019/Seguimiento%20MR%20%20Adm%20IV%20TRIMESTRE%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Volumes/GoogleDrive/Mi%20unidad/COVID%20REPS/FEBRERO%202021/04%20FEBRERO/C:/Users/control/Documents/GESTI&#211;N%20DEL%20RIESGO/Gesti&#243;n%20del%20riesgo%202019/Mapa%20de%20Riesgos%20IV%20trimestre%202019/Seguimiento%20MR%20%20Adm%20IV%20TRIMESTR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er1/Downloads/Mapa%20de%20Riesgos%20sistemas%20%202019%20primer%20semest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ontrol Interno"/>
      <sheetName val="Evaluación de Controles"/>
      <sheetName val="Resumen"/>
      <sheetName val="Evolución"/>
      <sheetName val="Listas"/>
      <sheetName val="Impactos"/>
      <sheetName val="Idea Zonas"/>
      <sheetName val="Hoja1"/>
      <sheetName val="formatos pre"/>
    </sheetNames>
    <sheetDataSet>
      <sheetData sheetId="0"/>
      <sheetData sheetId="1">
        <row r="4">
          <cell r="F4" t="str">
            <v>X</v>
          </cell>
          <cell r="H4">
            <v>0</v>
          </cell>
          <cell r="X4">
            <v>85</v>
          </cell>
        </row>
        <row r="5">
          <cell r="F5" t="str">
            <v>X</v>
          </cell>
          <cell r="H5" t="str">
            <v>X</v>
          </cell>
          <cell r="X5">
            <v>85</v>
          </cell>
        </row>
        <row r="6">
          <cell r="F6" t="str">
            <v>X</v>
          </cell>
          <cell r="H6">
            <v>0</v>
          </cell>
          <cell r="X6">
            <v>85</v>
          </cell>
        </row>
        <row r="7">
          <cell r="F7" t="str">
            <v>X</v>
          </cell>
          <cell r="H7">
            <v>0</v>
          </cell>
          <cell r="X7">
            <v>85</v>
          </cell>
        </row>
      </sheetData>
      <sheetData sheetId="2"/>
      <sheetData sheetId="3"/>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8">
          <cell r="F48" t="str">
            <v>X</v>
          </cell>
          <cell r="H48" t="str">
            <v>X</v>
          </cell>
        </row>
        <row r="49">
          <cell r="F49" t="str">
            <v>X</v>
          </cell>
          <cell r="H49" t="str">
            <v>X</v>
          </cell>
          <cell r="X49">
            <v>85</v>
          </cell>
        </row>
        <row r="50">
          <cell r="F50" t="str">
            <v>X</v>
          </cell>
          <cell r="H50" t="str">
            <v>X</v>
          </cell>
        </row>
      </sheetData>
      <sheetData sheetId="16"/>
      <sheetData sheetId="17"/>
      <sheetData sheetId="18">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1">
          <cell r="F51" t="str">
            <v>X</v>
          </cell>
          <cell r="H51" t="str">
            <v>X</v>
          </cell>
        </row>
        <row r="52">
          <cell r="F52" t="str">
            <v>X</v>
          </cell>
          <cell r="H52" t="str">
            <v>X</v>
          </cell>
          <cell r="X52">
            <v>85</v>
          </cell>
        </row>
      </sheetData>
      <sheetData sheetId="16"/>
      <sheetData sheetId="17"/>
      <sheetData sheetId="18">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sheetData sheetId="20"/>
      <sheetData sheetId="21"/>
      <sheetData sheetId="2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
          <cell r="F11" t="str">
            <v>X</v>
          </cell>
          <cell r="H11">
            <v>0</v>
          </cell>
        </row>
        <row r="12">
          <cell r="F12" t="str">
            <v>X</v>
          </cell>
          <cell r="H12" t="str">
            <v>X</v>
          </cell>
        </row>
        <row r="13">
          <cell r="F13" t="str">
            <v>X</v>
          </cell>
          <cell r="H13">
            <v>0</v>
          </cell>
          <cell r="X13">
            <v>85</v>
          </cell>
        </row>
        <row r="14">
          <cell r="F14" t="str">
            <v>X</v>
          </cell>
          <cell r="H14">
            <v>0</v>
          </cell>
        </row>
        <row r="15">
          <cell r="F15" t="str">
            <v>X</v>
          </cell>
          <cell r="H15">
            <v>0</v>
          </cell>
        </row>
      </sheetData>
      <sheetData sheetId="16"/>
      <sheetData sheetId="17"/>
      <sheetData sheetId="18">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
          <cell r="F16" t="str">
            <v>X</v>
          </cell>
          <cell r="H16">
            <v>0</v>
          </cell>
        </row>
        <row r="17">
          <cell r="F17" t="str">
            <v>X</v>
          </cell>
          <cell r="H17">
            <v>0</v>
          </cell>
        </row>
        <row r="18">
          <cell r="F18" t="str">
            <v>X</v>
          </cell>
          <cell r="H18">
            <v>0</v>
          </cell>
        </row>
      </sheetData>
      <sheetData sheetId="16"/>
      <sheetData sheetId="17"/>
      <sheetData sheetId="18">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9">
          <cell r="F19" t="str">
            <v>X</v>
          </cell>
        </row>
        <row r="20">
          <cell r="F20" t="str">
            <v>X</v>
          </cell>
        </row>
        <row r="21">
          <cell r="F21" t="str">
            <v>X</v>
          </cell>
          <cell r="H21">
            <v>0</v>
          </cell>
        </row>
        <row r="22">
          <cell r="F22" t="str">
            <v>X</v>
          </cell>
          <cell r="H22">
            <v>0</v>
          </cell>
        </row>
        <row r="25">
          <cell r="F25" t="str">
            <v>X</v>
          </cell>
          <cell r="H25" t="str">
            <v>X</v>
          </cell>
          <cell r="X25">
            <v>85</v>
          </cell>
        </row>
        <row r="28">
          <cell r="F28" t="str">
            <v>X</v>
          </cell>
          <cell r="H28" t="str">
            <v>X</v>
          </cell>
          <cell r="X28">
            <v>75</v>
          </cell>
        </row>
        <row r="29">
          <cell r="F29" t="str">
            <v>X</v>
          </cell>
          <cell r="H29" t="str">
            <v>X</v>
          </cell>
          <cell r="X29">
            <v>85</v>
          </cell>
        </row>
        <row r="30">
          <cell r="F30" t="str">
            <v>X</v>
          </cell>
          <cell r="H30" t="str">
            <v>X</v>
          </cell>
          <cell r="X30">
            <v>70</v>
          </cell>
        </row>
      </sheetData>
      <sheetData sheetId="16"/>
      <sheetData sheetId="17"/>
      <sheetData sheetId="18">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alidad"/>
      <sheetName val="(5) Talento Humano"/>
      <sheetName val="(6) Seguridad y Salud T"/>
      <sheetName val="(7) Sistemas"/>
      <sheetName val="(8) Gestión Documental"/>
      <sheetName val="(9) Cartera"/>
      <sheetName val="(10) Contabilidad"/>
      <sheetName val="(11) Presupuesto"/>
      <sheetName val="(12) Tesorería"/>
      <sheetName val="(13) Facturacion y glosas"/>
      <sheetName val="(14) Compras, bienes y suminis"/>
      <sheetName val="(15) Mantenimiento"/>
      <sheetName val="Evaluación de Controles"/>
      <sheetName val="Resumen"/>
      <sheetName val="Evolución"/>
      <sheetName val="Listas"/>
      <sheetName val="Impactos"/>
      <sheetName val="Idea Zonas"/>
      <sheetName val="Hoja1"/>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4">
          <cell r="F24" t="str">
            <v>X</v>
          </cell>
          <cell r="H24">
            <v>0</v>
          </cell>
          <cell r="X24">
            <v>90</v>
          </cell>
        </row>
        <row r="25">
          <cell r="F25" t="str">
            <v>X</v>
          </cell>
          <cell r="H25" t="str">
            <v>X</v>
          </cell>
          <cell r="X25">
            <v>85</v>
          </cell>
        </row>
        <row r="26">
          <cell r="F26" t="str">
            <v>X</v>
          </cell>
          <cell r="H26" t="str">
            <v>X</v>
          </cell>
        </row>
        <row r="27">
          <cell r="F27" t="str">
            <v>X</v>
          </cell>
          <cell r="H27" t="str">
            <v>X</v>
          </cell>
        </row>
      </sheetData>
      <sheetData sheetId="16" refreshError="1"/>
      <sheetData sheetId="17" refreshError="1"/>
      <sheetData sheetId="18"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21" Type="http://schemas.openxmlformats.org/officeDocument/2006/relationships/drawing" Target="../drawings/drawing10.xml"/><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21" Type="http://schemas.openxmlformats.org/officeDocument/2006/relationships/drawing" Target="../drawings/drawing11.xml"/><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21" Type="http://schemas.openxmlformats.org/officeDocument/2006/relationships/drawing" Target="../drawings/drawing12.xml"/><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49.bin"/><Relationship Id="rId13" Type="http://schemas.openxmlformats.org/officeDocument/2006/relationships/printerSettings" Target="../printerSettings/printerSettings254.bin"/><Relationship Id="rId18" Type="http://schemas.openxmlformats.org/officeDocument/2006/relationships/printerSettings" Target="../printerSettings/printerSettings259.bin"/><Relationship Id="rId3" Type="http://schemas.openxmlformats.org/officeDocument/2006/relationships/printerSettings" Target="../printerSettings/printerSettings244.bin"/><Relationship Id="rId21" Type="http://schemas.openxmlformats.org/officeDocument/2006/relationships/drawing" Target="../drawings/drawing14.xml"/><Relationship Id="rId7" Type="http://schemas.openxmlformats.org/officeDocument/2006/relationships/printerSettings" Target="../printerSettings/printerSettings248.bin"/><Relationship Id="rId12" Type="http://schemas.openxmlformats.org/officeDocument/2006/relationships/printerSettings" Target="../printerSettings/printerSettings253.bin"/><Relationship Id="rId17" Type="http://schemas.openxmlformats.org/officeDocument/2006/relationships/printerSettings" Target="../printerSettings/printerSettings258.bin"/><Relationship Id="rId2" Type="http://schemas.openxmlformats.org/officeDocument/2006/relationships/printerSettings" Target="../printerSettings/printerSettings243.bin"/><Relationship Id="rId16" Type="http://schemas.openxmlformats.org/officeDocument/2006/relationships/printerSettings" Target="../printerSettings/printerSettings257.bin"/><Relationship Id="rId20" Type="http://schemas.openxmlformats.org/officeDocument/2006/relationships/printerSettings" Target="../printerSettings/printerSettings261.bin"/><Relationship Id="rId1" Type="http://schemas.openxmlformats.org/officeDocument/2006/relationships/printerSettings" Target="../printerSettings/printerSettings242.bin"/><Relationship Id="rId6" Type="http://schemas.openxmlformats.org/officeDocument/2006/relationships/printerSettings" Target="../printerSettings/printerSettings247.bin"/><Relationship Id="rId11" Type="http://schemas.openxmlformats.org/officeDocument/2006/relationships/printerSettings" Target="../printerSettings/printerSettings252.bin"/><Relationship Id="rId5" Type="http://schemas.openxmlformats.org/officeDocument/2006/relationships/printerSettings" Target="../printerSettings/printerSettings246.bin"/><Relationship Id="rId15" Type="http://schemas.openxmlformats.org/officeDocument/2006/relationships/printerSettings" Target="../printerSettings/printerSettings256.bin"/><Relationship Id="rId10" Type="http://schemas.openxmlformats.org/officeDocument/2006/relationships/printerSettings" Target="../printerSettings/printerSettings251.bin"/><Relationship Id="rId19" Type="http://schemas.openxmlformats.org/officeDocument/2006/relationships/printerSettings" Target="../printerSettings/printerSettings260.bin"/><Relationship Id="rId4" Type="http://schemas.openxmlformats.org/officeDocument/2006/relationships/printerSettings" Target="../printerSettings/printerSettings245.bin"/><Relationship Id="rId9" Type="http://schemas.openxmlformats.org/officeDocument/2006/relationships/printerSettings" Target="../printerSettings/printerSettings250.bin"/><Relationship Id="rId14" Type="http://schemas.openxmlformats.org/officeDocument/2006/relationships/printerSettings" Target="../printerSettings/printerSettings25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63.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71.bin"/><Relationship Id="rId13" Type="http://schemas.openxmlformats.org/officeDocument/2006/relationships/printerSettings" Target="../printerSettings/printerSettings276.bin"/><Relationship Id="rId18" Type="http://schemas.openxmlformats.org/officeDocument/2006/relationships/printerSettings" Target="../printerSettings/printerSettings281.bin"/><Relationship Id="rId3" Type="http://schemas.openxmlformats.org/officeDocument/2006/relationships/printerSettings" Target="../printerSettings/printerSettings266.bin"/><Relationship Id="rId21" Type="http://schemas.openxmlformats.org/officeDocument/2006/relationships/drawing" Target="../drawings/drawing16.xml"/><Relationship Id="rId7" Type="http://schemas.openxmlformats.org/officeDocument/2006/relationships/printerSettings" Target="../printerSettings/printerSettings270.bin"/><Relationship Id="rId12" Type="http://schemas.openxmlformats.org/officeDocument/2006/relationships/printerSettings" Target="../printerSettings/printerSettings275.bin"/><Relationship Id="rId17" Type="http://schemas.openxmlformats.org/officeDocument/2006/relationships/printerSettings" Target="../printerSettings/printerSettings280.bin"/><Relationship Id="rId2" Type="http://schemas.openxmlformats.org/officeDocument/2006/relationships/printerSettings" Target="../printerSettings/printerSettings265.bin"/><Relationship Id="rId16" Type="http://schemas.openxmlformats.org/officeDocument/2006/relationships/printerSettings" Target="../printerSettings/printerSettings279.bin"/><Relationship Id="rId20" Type="http://schemas.openxmlformats.org/officeDocument/2006/relationships/printerSettings" Target="../printerSettings/printerSettings283.bin"/><Relationship Id="rId1" Type="http://schemas.openxmlformats.org/officeDocument/2006/relationships/printerSettings" Target="../printerSettings/printerSettings264.bin"/><Relationship Id="rId6" Type="http://schemas.openxmlformats.org/officeDocument/2006/relationships/printerSettings" Target="../printerSettings/printerSettings269.bin"/><Relationship Id="rId11" Type="http://schemas.openxmlformats.org/officeDocument/2006/relationships/printerSettings" Target="../printerSettings/printerSettings274.bin"/><Relationship Id="rId5" Type="http://schemas.openxmlformats.org/officeDocument/2006/relationships/printerSettings" Target="../printerSettings/printerSettings268.bin"/><Relationship Id="rId15" Type="http://schemas.openxmlformats.org/officeDocument/2006/relationships/printerSettings" Target="../printerSettings/printerSettings278.bin"/><Relationship Id="rId10" Type="http://schemas.openxmlformats.org/officeDocument/2006/relationships/printerSettings" Target="../printerSettings/printerSettings273.bin"/><Relationship Id="rId19" Type="http://schemas.openxmlformats.org/officeDocument/2006/relationships/printerSettings" Target="../printerSettings/printerSettings282.bin"/><Relationship Id="rId4" Type="http://schemas.openxmlformats.org/officeDocument/2006/relationships/printerSettings" Target="../printerSettings/printerSettings267.bin"/><Relationship Id="rId9" Type="http://schemas.openxmlformats.org/officeDocument/2006/relationships/printerSettings" Target="../printerSettings/printerSettings272.bin"/><Relationship Id="rId14" Type="http://schemas.openxmlformats.org/officeDocument/2006/relationships/printerSettings" Target="../printerSettings/printerSettings277.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91.bin"/><Relationship Id="rId13" Type="http://schemas.openxmlformats.org/officeDocument/2006/relationships/printerSettings" Target="../printerSettings/printerSettings296.bin"/><Relationship Id="rId18" Type="http://schemas.openxmlformats.org/officeDocument/2006/relationships/printerSettings" Target="../printerSettings/printerSettings30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12" Type="http://schemas.openxmlformats.org/officeDocument/2006/relationships/printerSettings" Target="../printerSettings/printerSettings295.bin"/><Relationship Id="rId17" Type="http://schemas.openxmlformats.org/officeDocument/2006/relationships/printerSettings" Target="../printerSettings/printerSettings300.bin"/><Relationship Id="rId2" Type="http://schemas.openxmlformats.org/officeDocument/2006/relationships/printerSettings" Target="../printerSettings/printerSettings285.bin"/><Relationship Id="rId16" Type="http://schemas.openxmlformats.org/officeDocument/2006/relationships/printerSettings" Target="../printerSettings/printerSettings299.bin"/><Relationship Id="rId20" Type="http://schemas.openxmlformats.org/officeDocument/2006/relationships/printerSettings" Target="../printerSettings/printerSettings303.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5" Type="http://schemas.openxmlformats.org/officeDocument/2006/relationships/printerSettings" Target="../printerSettings/printerSettings298.bin"/><Relationship Id="rId10" Type="http://schemas.openxmlformats.org/officeDocument/2006/relationships/printerSettings" Target="../printerSettings/printerSettings293.bin"/><Relationship Id="rId19" Type="http://schemas.openxmlformats.org/officeDocument/2006/relationships/printerSettings" Target="../printerSettings/printerSettings302.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 Id="rId14" Type="http://schemas.openxmlformats.org/officeDocument/2006/relationships/printerSettings" Target="../printerSettings/printerSettings29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11.bin"/><Relationship Id="rId13" Type="http://schemas.openxmlformats.org/officeDocument/2006/relationships/printerSettings" Target="../printerSettings/printerSettings316.bin"/><Relationship Id="rId18" Type="http://schemas.openxmlformats.org/officeDocument/2006/relationships/printerSettings" Target="../printerSettings/printerSettings321.bin"/><Relationship Id="rId3" Type="http://schemas.openxmlformats.org/officeDocument/2006/relationships/printerSettings" Target="../printerSettings/printerSettings306.bin"/><Relationship Id="rId21" Type="http://schemas.openxmlformats.org/officeDocument/2006/relationships/drawing" Target="../drawings/drawing17.xml"/><Relationship Id="rId7" Type="http://schemas.openxmlformats.org/officeDocument/2006/relationships/printerSettings" Target="../printerSettings/printerSettings310.bin"/><Relationship Id="rId12" Type="http://schemas.openxmlformats.org/officeDocument/2006/relationships/printerSettings" Target="../printerSettings/printerSettings315.bin"/><Relationship Id="rId17" Type="http://schemas.openxmlformats.org/officeDocument/2006/relationships/printerSettings" Target="../printerSettings/printerSettings320.bin"/><Relationship Id="rId2" Type="http://schemas.openxmlformats.org/officeDocument/2006/relationships/printerSettings" Target="../printerSettings/printerSettings305.bin"/><Relationship Id="rId16" Type="http://schemas.openxmlformats.org/officeDocument/2006/relationships/printerSettings" Target="../printerSettings/printerSettings319.bin"/><Relationship Id="rId20" Type="http://schemas.openxmlformats.org/officeDocument/2006/relationships/printerSettings" Target="../printerSettings/printerSettings323.bin"/><Relationship Id="rId1" Type="http://schemas.openxmlformats.org/officeDocument/2006/relationships/printerSettings" Target="../printerSettings/printerSettings304.bin"/><Relationship Id="rId6" Type="http://schemas.openxmlformats.org/officeDocument/2006/relationships/printerSettings" Target="../printerSettings/printerSettings309.bin"/><Relationship Id="rId11" Type="http://schemas.openxmlformats.org/officeDocument/2006/relationships/printerSettings" Target="../printerSettings/printerSettings314.bin"/><Relationship Id="rId5" Type="http://schemas.openxmlformats.org/officeDocument/2006/relationships/printerSettings" Target="../printerSettings/printerSettings308.bin"/><Relationship Id="rId15" Type="http://schemas.openxmlformats.org/officeDocument/2006/relationships/printerSettings" Target="../printerSettings/printerSettings318.bin"/><Relationship Id="rId10" Type="http://schemas.openxmlformats.org/officeDocument/2006/relationships/printerSettings" Target="../printerSettings/printerSettings313.bin"/><Relationship Id="rId19" Type="http://schemas.openxmlformats.org/officeDocument/2006/relationships/printerSettings" Target="../printerSettings/printerSettings322.bin"/><Relationship Id="rId4" Type="http://schemas.openxmlformats.org/officeDocument/2006/relationships/printerSettings" Target="../printerSettings/printerSettings307.bin"/><Relationship Id="rId9" Type="http://schemas.openxmlformats.org/officeDocument/2006/relationships/printerSettings" Target="../printerSettings/printerSettings312.bin"/><Relationship Id="rId14" Type="http://schemas.openxmlformats.org/officeDocument/2006/relationships/printerSettings" Target="../printerSettings/printerSettings31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51.bin"/><Relationship Id="rId13" Type="http://schemas.openxmlformats.org/officeDocument/2006/relationships/printerSettings" Target="../printerSettings/printerSettings356.bin"/><Relationship Id="rId18" Type="http://schemas.openxmlformats.org/officeDocument/2006/relationships/printerSettings" Target="../printerSettings/printerSettings361.bin"/><Relationship Id="rId3" Type="http://schemas.openxmlformats.org/officeDocument/2006/relationships/printerSettings" Target="../printerSettings/printerSettings346.bin"/><Relationship Id="rId7" Type="http://schemas.openxmlformats.org/officeDocument/2006/relationships/printerSettings" Target="../printerSettings/printerSettings350.bin"/><Relationship Id="rId12" Type="http://schemas.openxmlformats.org/officeDocument/2006/relationships/printerSettings" Target="../printerSettings/printerSettings355.bin"/><Relationship Id="rId17" Type="http://schemas.openxmlformats.org/officeDocument/2006/relationships/printerSettings" Target="../printerSettings/printerSettings360.bin"/><Relationship Id="rId2" Type="http://schemas.openxmlformats.org/officeDocument/2006/relationships/printerSettings" Target="../printerSettings/printerSettings345.bin"/><Relationship Id="rId16" Type="http://schemas.openxmlformats.org/officeDocument/2006/relationships/printerSettings" Target="../printerSettings/printerSettings359.bin"/><Relationship Id="rId20" Type="http://schemas.openxmlformats.org/officeDocument/2006/relationships/printerSettings" Target="../printerSettings/printerSettings363.bin"/><Relationship Id="rId1" Type="http://schemas.openxmlformats.org/officeDocument/2006/relationships/printerSettings" Target="../printerSettings/printerSettings344.bin"/><Relationship Id="rId6" Type="http://schemas.openxmlformats.org/officeDocument/2006/relationships/printerSettings" Target="../printerSettings/printerSettings349.bin"/><Relationship Id="rId11" Type="http://schemas.openxmlformats.org/officeDocument/2006/relationships/printerSettings" Target="../printerSettings/printerSettings354.bin"/><Relationship Id="rId5" Type="http://schemas.openxmlformats.org/officeDocument/2006/relationships/printerSettings" Target="../printerSettings/printerSettings348.bin"/><Relationship Id="rId15" Type="http://schemas.openxmlformats.org/officeDocument/2006/relationships/printerSettings" Target="../printerSettings/printerSettings358.bin"/><Relationship Id="rId10" Type="http://schemas.openxmlformats.org/officeDocument/2006/relationships/printerSettings" Target="../printerSettings/printerSettings353.bin"/><Relationship Id="rId19" Type="http://schemas.openxmlformats.org/officeDocument/2006/relationships/printerSettings" Target="../printerSettings/printerSettings362.bin"/><Relationship Id="rId4" Type="http://schemas.openxmlformats.org/officeDocument/2006/relationships/printerSettings" Target="../printerSettings/printerSettings347.bin"/><Relationship Id="rId9" Type="http://schemas.openxmlformats.org/officeDocument/2006/relationships/printerSettings" Target="../printerSettings/printerSettings352.bin"/><Relationship Id="rId14" Type="http://schemas.openxmlformats.org/officeDocument/2006/relationships/printerSettings" Target="../printerSettings/printerSettings35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6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23" Type="http://schemas.openxmlformats.org/officeDocument/2006/relationships/comments" Target="../comments1.xml"/><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 Id="rId22"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X26"/>
  <sheetViews>
    <sheetView topLeftCell="E1" zoomScale="70" zoomScaleNormal="70" zoomScalePageLayoutView="70" workbookViewId="0">
      <selection activeCell="U5" sqref="U5"/>
    </sheetView>
  </sheetViews>
  <sheetFormatPr baseColWidth="10" defaultColWidth="11.42578125" defaultRowHeight="12" x14ac:dyDescent="0.2"/>
  <cols>
    <col min="1" max="1" width="4.7109375" style="229" customWidth="1"/>
    <col min="2" max="2" width="25.140625" style="229" customWidth="1"/>
    <col min="3" max="3" width="20" style="229" customWidth="1"/>
    <col min="4" max="4" width="21.7109375" style="229" hidden="1" customWidth="1"/>
    <col min="5" max="5" width="21.7109375" style="229" customWidth="1"/>
    <col min="6" max="8" width="6.7109375" style="229" customWidth="1"/>
    <col min="9" max="9" width="6.7109375" style="13" customWidth="1"/>
    <col min="10" max="10" width="21.7109375" style="20" customWidth="1"/>
    <col min="11" max="11" width="6.7109375" style="20" customWidth="1"/>
    <col min="12" max="12" width="6.7109375" style="229" customWidth="1"/>
    <col min="13" max="13" width="8.7109375" style="229" customWidth="1"/>
    <col min="14" max="14" width="7.140625" style="229" customWidth="1"/>
    <col min="15" max="15" width="7.7109375" style="229" customWidth="1"/>
    <col min="16" max="17" width="6.7109375" style="13" customWidth="1"/>
    <col min="18" max="18" width="24.42578125" style="229" customWidth="1"/>
    <col min="19" max="19" width="6.7109375" style="229" customWidth="1"/>
    <col min="20" max="20" width="19.42578125" style="229" customWidth="1"/>
    <col min="21" max="21" width="23.42578125" style="229" customWidth="1"/>
    <col min="22" max="22" width="30.42578125" style="18" customWidth="1"/>
    <col min="23" max="23" width="18.7109375" style="37" customWidth="1"/>
    <col min="24" max="24" width="17" style="229" customWidth="1"/>
    <col min="25" max="28" width="12.7109375" style="229" customWidth="1"/>
    <col min="29" max="16384" width="11.42578125" style="229"/>
  </cols>
  <sheetData>
    <row r="1" spans="1:24" ht="26.25" customHeight="1" x14ac:dyDescent="0.2">
      <c r="B1" s="555"/>
      <c r="C1" s="555"/>
      <c r="E1" s="556" t="s">
        <v>389</v>
      </c>
      <c r="F1" s="556"/>
      <c r="G1" s="556"/>
      <c r="H1" s="556"/>
      <c r="I1" s="556"/>
      <c r="J1" s="556"/>
      <c r="K1" s="556"/>
      <c r="L1" s="556"/>
      <c r="M1" s="556"/>
      <c r="N1" s="556"/>
      <c r="O1" s="556"/>
      <c r="P1" s="556"/>
      <c r="Q1" s="556"/>
      <c r="R1" s="556"/>
      <c r="S1" s="556"/>
      <c r="T1" s="556"/>
      <c r="U1" s="556"/>
      <c r="V1" s="324" t="s">
        <v>594</v>
      </c>
    </row>
    <row r="2" spans="1:24" ht="26.25" customHeight="1" x14ac:dyDescent="0.3">
      <c r="B2" s="555"/>
      <c r="C2" s="555"/>
      <c r="D2" s="314" t="s">
        <v>334</v>
      </c>
      <c r="E2" s="556"/>
      <c r="F2" s="556"/>
      <c r="G2" s="556"/>
      <c r="H2" s="556"/>
      <c r="I2" s="556"/>
      <c r="J2" s="556"/>
      <c r="K2" s="556"/>
      <c r="L2" s="556"/>
      <c r="M2" s="556"/>
      <c r="N2" s="556"/>
      <c r="O2" s="556"/>
      <c r="P2" s="556"/>
      <c r="Q2" s="556"/>
      <c r="R2" s="556"/>
      <c r="S2" s="556"/>
      <c r="T2" s="556"/>
      <c r="U2" s="556"/>
      <c r="V2" s="324" t="s">
        <v>595</v>
      </c>
    </row>
    <row r="3" spans="1:24" ht="26.25" customHeight="1" x14ac:dyDescent="0.3">
      <c r="B3" s="555"/>
      <c r="C3" s="555"/>
      <c r="D3" s="314" t="s">
        <v>16</v>
      </c>
      <c r="E3" s="556"/>
      <c r="F3" s="556"/>
      <c r="G3" s="556"/>
      <c r="H3" s="556"/>
      <c r="I3" s="556"/>
      <c r="J3" s="556"/>
      <c r="K3" s="556"/>
      <c r="L3" s="556"/>
      <c r="M3" s="556"/>
      <c r="N3" s="556"/>
      <c r="O3" s="556"/>
      <c r="P3" s="556"/>
      <c r="Q3" s="556"/>
      <c r="R3" s="556"/>
      <c r="S3" s="556"/>
      <c r="T3" s="556"/>
      <c r="U3" s="556"/>
      <c r="V3" s="324" t="s">
        <v>596</v>
      </c>
    </row>
    <row r="4" spans="1:24" ht="20.25" x14ac:dyDescent="0.3">
      <c r="D4" s="250"/>
      <c r="E4" s="250"/>
      <c r="F4" s="250"/>
      <c r="G4" s="250"/>
      <c r="H4" s="250"/>
      <c r="I4" s="251"/>
      <c r="J4" s="250"/>
      <c r="K4" s="250"/>
      <c r="L4" s="250"/>
      <c r="M4" s="250"/>
    </row>
    <row r="5" spans="1:24" s="253" customFormat="1" ht="24" customHeight="1" x14ac:dyDescent="0.25">
      <c r="A5" s="252"/>
      <c r="B5" s="553" t="s">
        <v>0</v>
      </c>
      <c r="C5" s="554"/>
      <c r="D5" s="316" t="s">
        <v>335</v>
      </c>
      <c r="E5" s="557" t="s">
        <v>653</v>
      </c>
      <c r="F5" s="557"/>
      <c r="G5" s="557"/>
      <c r="H5" s="557"/>
      <c r="I5" s="557"/>
      <c r="J5" s="557"/>
      <c r="K5" s="557"/>
      <c r="L5" s="557"/>
      <c r="M5" s="557"/>
      <c r="N5" s="557"/>
      <c r="O5" s="558"/>
      <c r="P5" s="553" t="s">
        <v>25</v>
      </c>
      <c r="Q5" s="554"/>
      <c r="R5" s="316">
        <v>2020</v>
      </c>
      <c r="S5" s="317"/>
      <c r="T5" s="318"/>
      <c r="W5" s="254"/>
    </row>
    <row r="6" spans="1:24" s="253" customFormat="1" ht="42.75" customHeight="1" x14ac:dyDescent="0.25">
      <c r="A6" s="252"/>
      <c r="B6" s="553" t="s">
        <v>1</v>
      </c>
      <c r="C6" s="554"/>
      <c r="D6" s="319"/>
      <c r="E6" s="559" t="s">
        <v>493</v>
      </c>
      <c r="F6" s="559"/>
      <c r="G6" s="559"/>
      <c r="H6" s="559"/>
      <c r="I6" s="559"/>
      <c r="J6" s="559"/>
      <c r="K6" s="559"/>
      <c r="L6" s="559"/>
      <c r="M6" s="559"/>
      <c r="N6" s="559"/>
      <c r="O6" s="559"/>
      <c r="P6" s="559"/>
      <c r="Q6" s="559"/>
      <c r="R6" s="559"/>
      <c r="S6" s="559"/>
      <c r="T6" s="560"/>
      <c r="W6" s="254"/>
    </row>
    <row r="7" spans="1:24" s="253" customFormat="1" ht="15.75" thickBot="1" x14ac:dyDescent="0.3">
      <c r="A7" s="252"/>
      <c r="B7" s="255"/>
      <c r="C7" s="255"/>
      <c r="I7" s="254"/>
      <c r="J7" s="256"/>
      <c r="K7" s="256"/>
      <c r="P7" s="254"/>
      <c r="Q7" s="254"/>
      <c r="V7" s="254"/>
      <c r="W7" s="254"/>
    </row>
    <row r="8" spans="1:24" s="258" customFormat="1" ht="30" customHeight="1" thickBot="1" x14ac:dyDescent="0.3">
      <c r="A8" s="257"/>
      <c r="B8" s="546" t="s">
        <v>2</v>
      </c>
      <c r="C8" s="546" t="s">
        <v>3</v>
      </c>
      <c r="D8" s="542"/>
      <c r="E8" s="546" t="s">
        <v>5</v>
      </c>
      <c r="F8" s="549" t="s">
        <v>28</v>
      </c>
      <c r="G8" s="546" t="s">
        <v>213</v>
      </c>
      <c r="H8" s="546"/>
      <c r="I8" s="547" t="s">
        <v>24</v>
      </c>
      <c r="J8" s="542" t="s">
        <v>11</v>
      </c>
      <c r="K8" s="544" t="s">
        <v>35</v>
      </c>
      <c r="L8" s="545"/>
      <c r="M8" s="562" t="s">
        <v>211</v>
      </c>
      <c r="N8" s="546" t="s">
        <v>214</v>
      </c>
      <c r="O8" s="546"/>
      <c r="P8" s="547" t="s">
        <v>24</v>
      </c>
      <c r="Q8" s="549" t="s">
        <v>10</v>
      </c>
      <c r="R8" s="546" t="s">
        <v>8</v>
      </c>
      <c r="S8" s="550" t="s">
        <v>17</v>
      </c>
      <c r="T8" s="546" t="s">
        <v>231</v>
      </c>
      <c r="U8" s="542" t="s">
        <v>215</v>
      </c>
      <c r="V8" s="561" t="s">
        <v>9</v>
      </c>
      <c r="W8" s="551" t="s">
        <v>623</v>
      </c>
      <c r="X8" s="552"/>
    </row>
    <row r="9" spans="1:24" s="258" customFormat="1" ht="87.75" customHeight="1" x14ac:dyDescent="0.25">
      <c r="A9" s="257"/>
      <c r="B9" s="546"/>
      <c r="C9" s="546"/>
      <c r="D9" s="543"/>
      <c r="E9" s="546"/>
      <c r="F9" s="549"/>
      <c r="G9" s="259" t="s">
        <v>6</v>
      </c>
      <c r="H9" s="259" t="s">
        <v>7</v>
      </c>
      <c r="I9" s="548"/>
      <c r="J9" s="543"/>
      <c r="K9" s="260" t="s">
        <v>229</v>
      </c>
      <c r="L9" s="261" t="s">
        <v>230</v>
      </c>
      <c r="M9" s="563"/>
      <c r="N9" s="262" t="s">
        <v>6</v>
      </c>
      <c r="O9" s="263" t="s">
        <v>7</v>
      </c>
      <c r="P9" s="548"/>
      <c r="Q9" s="549"/>
      <c r="R9" s="546"/>
      <c r="S9" s="550"/>
      <c r="T9" s="546"/>
      <c r="U9" s="543"/>
      <c r="V9" s="546"/>
      <c r="W9" s="419" t="s">
        <v>658</v>
      </c>
      <c r="X9" s="419" t="s">
        <v>659</v>
      </c>
    </row>
    <row r="10" spans="1:24" s="253" customFormat="1" ht="117.75" customHeight="1" x14ac:dyDescent="0.25">
      <c r="A10" s="264">
        <v>1</v>
      </c>
      <c r="B10" s="265" t="s">
        <v>234</v>
      </c>
      <c r="C10" s="269" t="s">
        <v>343</v>
      </c>
      <c r="D10" s="265"/>
      <c r="E10" s="265" t="s">
        <v>344</v>
      </c>
      <c r="F10" s="267" t="s">
        <v>31</v>
      </c>
      <c r="G10" s="265">
        <v>3</v>
      </c>
      <c r="H10" s="265">
        <v>4</v>
      </c>
      <c r="I10" s="268" t="str">
        <f>INDEX(Listas!$L$4:$P$8,G10,H10)</f>
        <v>EXTREMA</v>
      </c>
      <c r="J10" s="265" t="s">
        <v>351</v>
      </c>
      <c r="K10" s="270" t="s">
        <v>228</v>
      </c>
      <c r="L10" s="271" t="s">
        <v>6</v>
      </c>
      <c r="M10" s="491">
        <v>85</v>
      </c>
      <c r="N10" s="265">
        <v>1</v>
      </c>
      <c r="O10" s="265">
        <v>2</v>
      </c>
      <c r="P10" s="268" t="s">
        <v>52</v>
      </c>
      <c r="Q10" s="270" t="s">
        <v>237</v>
      </c>
      <c r="R10" s="265" t="s">
        <v>350</v>
      </c>
      <c r="S10" s="267" t="s">
        <v>20</v>
      </c>
      <c r="T10" s="265" t="s">
        <v>352</v>
      </c>
      <c r="U10" s="265" t="s">
        <v>354</v>
      </c>
      <c r="V10" s="272" t="s">
        <v>353</v>
      </c>
      <c r="W10" s="273">
        <f>12/12</f>
        <v>1</v>
      </c>
      <c r="X10" s="273">
        <f>12/12</f>
        <v>1</v>
      </c>
    </row>
    <row r="11" spans="1:24" s="253" customFormat="1" ht="124.5" customHeight="1" x14ac:dyDescent="0.25">
      <c r="A11" s="264">
        <v>2</v>
      </c>
      <c r="B11" s="265" t="s">
        <v>645</v>
      </c>
      <c r="C11" s="269" t="s">
        <v>345</v>
      </c>
      <c r="E11" s="253" t="s">
        <v>347</v>
      </c>
      <c r="F11" s="267" t="s">
        <v>31</v>
      </c>
      <c r="G11" s="265">
        <v>4</v>
      </c>
      <c r="H11" s="265">
        <v>4</v>
      </c>
      <c r="I11" s="268" t="str">
        <f>INDEX(Listas!$L$4:$P$8,G11,H11)</f>
        <v>EXTREMA</v>
      </c>
      <c r="J11" s="265" t="s">
        <v>646</v>
      </c>
      <c r="K11" s="270" t="s">
        <v>228</v>
      </c>
      <c r="L11" s="271" t="s">
        <v>6</v>
      </c>
      <c r="M11" s="491">
        <v>85</v>
      </c>
      <c r="N11" s="265">
        <v>2</v>
      </c>
      <c r="O11" s="265">
        <v>2</v>
      </c>
      <c r="P11" s="268" t="s">
        <v>52</v>
      </c>
      <c r="Q11" s="270" t="s">
        <v>237</v>
      </c>
      <c r="R11" s="272" t="s">
        <v>647</v>
      </c>
      <c r="S11" s="267" t="s">
        <v>19</v>
      </c>
      <c r="T11" s="265" t="s">
        <v>352</v>
      </c>
      <c r="U11" s="265" t="s">
        <v>355</v>
      </c>
      <c r="V11" s="273" t="s">
        <v>644</v>
      </c>
      <c r="W11" s="273">
        <f>16/16</f>
        <v>1</v>
      </c>
      <c r="X11" s="273">
        <f>16/16</f>
        <v>1</v>
      </c>
    </row>
    <row r="12" spans="1:24" s="253" customFormat="1" ht="99.75" x14ac:dyDescent="0.25">
      <c r="A12" s="264">
        <v>3</v>
      </c>
      <c r="B12" s="265" t="s">
        <v>648</v>
      </c>
      <c r="C12" s="269" t="s">
        <v>348</v>
      </c>
      <c r="D12" s="265"/>
      <c r="E12" s="265" t="s">
        <v>233</v>
      </c>
      <c r="F12" s="267" t="s">
        <v>31</v>
      </c>
      <c r="G12" s="265">
        <v>2</v>
      </c>
      <c r="H12" s="265">
        <v>4</v>
      </c>
      <c r="I12" s="268" t="str">
        <f>INDEX(Listas!$L$4:$P$8,G12,H12)</f>
        <v>ALTA</v>
      </c>
      <c r="J12" s="265" t="s">
        <v>661</v>
      </c>
      <c r="K12" s="270" t="s">
        <v>228</v>
      </c>
      <c r="L12" s="271" t="s">
        <v>6</v>
      </c>
      <c r="M12" s="491">
        <v>85</v>
      </c>
      <c r="N12" s="265">
        <v>1</v>
      </c>
      <c r="O12" s="265">
        <v>2</v>
      </c>
      <c r="P12" s="268" t="s">
        <v>52</v>
      </c>
      <c r="Q12" s="270" t="s">
        <v>237</v>
      </c>
      <c r="R12" s="265" t="s">
        <v>661</v>
      </c>
      <c r="S12" s="267" t="s">
        <v>68</v>
      </c>
      <c r="T12" s="265" t="s">
        <v>342</v>
      </c>
      <c r="U12" s="265" t="s">
        <v>341</v>
      </c>
      <c r="V12" s="272" t="s">
        <v>349</v>
      </c>
      <c r="W12" s="273">
        <f>14/14</f>
        <v>1</v>
      </c>
      <c r="X12" s="378">
        <f>14/14</f>
        <v>1</v>
      </c>
    </row>
    <row r="13" spans="1:24" s="281" customFormat="1" ht="15.75" x14ac:dyDescent="0.25">
      <c r="A13" s="274"/>
      <c r="B13" s="275"/>
      <c r="C13" s="274"/>
      <c r="D13" s="275"/>
      <c r="E13" s="275"/>
      <c r="F13" s="276"/>
      <c r="G13" s="275"/>
      <c r="H13" s="275"/>
      <c r="I13" s="277"/>
      <c r="J13" s="278"/>
      <c r="K13" s="279"/>
      <c r="L13" s="279"/>
      <c r="M13" s="275"/>
      <c r="N13" s="275"/>
      <c r="O13" s="275"/>
      <c r="P13" s="277"/>
      <c r="Q13" s="279"/>
      <c r="R13" s="280"/>
      <c r="S13" s="276"/>
      <c r="T13" s="275"/>
      <c r="U13" s="275"/>
      <c r="V13" s="275"/>
      <c r="W13" s="421">
        <f>AVERAGE(W10:W12)</f>
        <v>1</v>
      </c>
    </row>
    <row r="14" spans="1:24" x14ac:dyDescent="0.2">
      <c r="D14" s="9"/>
      <c r="G14" s="541" t="s">
        <v>97</v>
      </c>
      <c r="H14" s="541"/>
      <c r="I14" s="36">
        <f>COUNTIF(I10:I12,"BAJA")</f>
        <v>0</v>
      </c>
      <c r="J14" s="229"/>
      <c r="K14" s="229"/>
      <c r="N14" s="541" t="s">
        <v>97</v>
      </c>
      <c r="O14" s="541"/>
      <c r="P14" s="36">
        <f>COUNTIF(P10:P12,"BAJA")</f>
        <v>3</v>
      </c>
      <c r="Q14" s="229"/>
      <c r="V14" s="229"/>
    </row>
    <row r="15" spans="1:24" x14ac:dyDescent="0.2">
      <c r="D15" s="9"/>
      <c r="G15" s="541" t="s">
        <v>99</v>
      </c>
      <c r="H15" s="541"/>
      <c r="I15" s="36">
        <f>COUNTIF(I10:I12,"MODERADA")</f>
        <v>0</v>
      </c>
      <c r="J15" s="229"/>
      <c r="K15" s="229"/>
      <c r="N15" s="541" t="s">
        <v>99</v>
      </c>
      <c r="O15" s="541"/>
      <c r="P15" s="36">
        <f>COUNTIF(P10:P12,"MODERADA")</f>
        <v>0</v>
      </c>
      <c r="Q15" s="229"/>
      <c r="V15" s="229"/>
    </row>
    <row r="16" spans="1:24" x14ac:dyDescent="0.2">
      <c r="B16" s="9"/>
      <c r="C16" s="9"/>
      <c r="D16" s="9"/>
      <c r="E16" s="9"/>
      <c r="G16" s="541" t="s">
        <v>98</v>
      </c>
      <c r="H16" s="541"/>
      <c r="I16" s="36">
        <f>COUNTIF(I10:I12,"ALTA")</f>
        <v>1</v>
      </c>
      <c r="J16" s="229"/>
      <c r="K16" s="229"/>
      <c r="N16" s="541" t="s">
        <v>98</v>
      </c>
      <c r="O16" s="541"/>
      <c r="P16" s="36">
        <f>COUNTIF(P10:P12,"ALTA")</f>
        <v>0</v>
      </c>
      <c r="Q16" s="229"/>
      <c r="V16" s="229"/>
    </row>
    <row r="17" spans="2:23" ht="15.75" x14ac:dyDescent="0.25">
      <c r="B17" s="335"/>
      <c r="C17" s="342"/>
      <c r="D17" s="9"/>
      <c r="E17" s="230"/>
      <c r="G17" s="541" t="s">
        <v>100</v>
      </c>
      <c r="H17" s="541"/>
      <c r="I17" s="36">
        <f>COUNTIF(I10:I12,"EXTREMA")</f>
        <v>2</v>
      </c>
      <c r="J17" s="229"/>
      <c r="K17" s="229"/>
      <c r="N17" s="541" t="s">
        <v>100</v>
      </c>
      <c r="O17" s="541"/>
      <c r="P17" s="36">
        <f>COUNTIF(P10:P12,"EXTREMA")</f>
        <v>0</v>
      </c>
      <c r="Q17" s="229"/>
      <c r="V17" s="229"/>
    </row>
    <row r="18" spans="2:23" ht="15.75" x14ac:dyDescent="0.2">
      <c r="B18" s="341"/>
      <c r="C18" s="9"/>
      <c r="D18" s="9"/>
      <c r="G18" s="40"/>
      <c r="H18" s="40"/>
      <c r="I18" s="41"/>
      <c r="J18" s="229"/>
      <c r="K18" s="229"/>
      <c r="N18" s="40"/>
      <c r="O18" s="40"/>
      <c r="P18" s="41"/>
      <c r="Q18" s="229"/>
      <c r="V18" s="229"/>
    </row>
    <row r="19" spans="2:23" x14ac:dyDescent="0.2">
      <c r="W19" s="229"/>
    </row>
    <row r="20" spans="2:23" x14ac:dyDescent="0.2">
      <c r="W20" s="229"/>
    </row>
    <row r="21" spans="2:23" ht="15" x14ac:dyDescent="0.2">
      <c r="B21" s="231"/>
      <c r="C21" s="360"/>
      <c r="D21" s="172"/>
      <c r="E21" s="233"/>
      <c r="F21" s="233"/>
      <c r="G21" s="233"/>
      <c r="H21" s="361"/>
      <c r="I21" s="361"/>
      <c r="J21" s="361"/>
      <c r="K21" s="14"/>
      <c r="L21" s="14"/>
      <c r="W21" s="229"/>
    </row>
    <row r="22" spans="2:23" ht="15" x14ac:dyDescent="0.2">
      <c r="B22" s="363" t="s">
        <v>654</v>
      </c>
      <c r="C22" s="365"/>
      <c r="D22" s="365"/>
      <c r="E22" s="363" t="s">
        <v>492</v>
      </c>
      <c r="F22" s="365"/>
      <c r="G22" s="365"/>
      <c r="H22" s="365"/>
      <c r="I22" s="365"/>
      <c r="J22" s="365"/>
      <c r="K22" s="55"/>
      <c r="L22" s="14"/>
      <c r="W22" s="229"/>
    </row>
    <row r="23" spans="2:23" ht="15" x14ac:dyDescent="0.2">
      <c r="B23" s="232" t="s">
        <v>244</v>
      </c>
      <c r="C23" s="171"/>
      <c r="D23" s="172"/>
      <c r="E23" s="232" t="s">
        <v>245</v>
      </c>
      <c r="F23" s="171"/>
      <c r="G23" s="14"/>
      <c r="H23" s="14"/>
      <c r="I23" s="14"/>
      <c r="J23" s="14"/>
      <c r="K23" s="14"/>
      <c r="L23" s="14"/>
      <c r="W23" s="229"/>
    </row>
    <row r="24" spans="2:23" ht="15" x14ac:dyDescent="0.2">
      <c r="B24" s="170"/>
      <c r="C24" s="171"/>
      <c r="D24" s="172"/>
      <c r="E24" s="14"/>
      <c r="F24" s="14"/>
      <c r="G24" s="14"/>
      <c r="H24" s="14"/>
      <c r="I24" s="14"/>
      <c r="J24" s="14"/>
      <c r="K24" s="14"/>
      <c r="L24" s="14"/>
      <c r="W24" s="229"/>
    </row>
    <row r="25" spans="2:23" s="38" customFormat="1" x14ac:dyDescent="0.25">
      <c r="J25" s="39"/>
      <c r="K25" s="39"/>
    </row>
    <row r="26" spans="2:23" x14ac:dyDescent="0.2">
      <c r="W26" s="229"/>
    </row>
  </sheetData>
  <customSheetViews>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5"/>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5"/>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6"/>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4">
    <mergeCell ref="W8:X8"/>
    <mergeCell ref="B6:C6"/>
    <mergeCell ref="P5:Q5"/>
    <mergeCell ref="B1:C3"/>
    <mergeCell ref="E1:U3"/>
    <mergeCell ref="E5:O5"/>
    <mergeCell ref="B5:C5"/>
    <mergeCell ref="E6:T6"/>
    <mergeCell ref="R8:R9"/>
    <mergeCell ref="V8:V9"/>
    <mergeCell ref="B8:B9"/>
    <mergeCell ref="C8:C9"/>
    <mergeCell ref="D8:D9"/>
    <mergeCell ref="E8:E9"/>
    <mergeCell ref="F8:F9"/>
    <mergeCell ref="M8:M9"/>
    <mergeCell ref="U8:U9"/>
    <mergeCell ref="K8:L8"/>
    <mergeCell ref="G8:H8"/>
    <mergeCell ref="I8:I9"/>
    <mergeCell ref="J8:J9"/>
    <mergeCell ref="N8:O8"/>
    <mergeCell ref="P8:P9"/>
    <mergeCell ref="Q8:Q9"/>
    <mergeCell ref="S8:S9"/>
    <mergeCell ref="T8:T9"/>
    <mergeCell ref="G15:H15"/>
    <mergeCell ref="G16:H16"/>
    <mergeCell ref="G17:H17"/>
    <mergeCell ref="N14:O14"/>
    <mergeCell ref="N15:O15"/>
    <mergeCell ref="N16:O16"/>
    <mergeCell ref="N17:O17"/>
    <mergeCell ref="G14:H14"/>
  </mergeCells>
  <conditionalFormatting sqref="G19:G1048576 F4:G4 N4:O4 F7:G7 G8:H11 F14:F1048576 F26:G26 N14:O1048576 N7:O7 G13:H13">
    <cfRule type="colorScale" priority="73">
      <colorScale>
        <cfvo type="num" val="1"/>
        <cfvo type="num" val="3"/>
        <cfvo type="num" val="5"/>
        <color theme="6" tint="-0.499984740745262"/>
        <color rgb="FFFFFF00"/>
        <color rgb="FFC00000"/>
      </colorScale>
    </cfRule>
  </conditionalFormatting>
  <conditionalFormatting sqref="G12:H12">
    <cfRule type="colorScale" priority="68">
      <colorScale>
        <cfvo type="num" val="1"/>
        <cfvo type="num" val="3"/>
        <cfvo type="num" val="5"/>
        <color theme="6" tint="-0.499984740745262"/>
        <color rgb="FFFFFF00"/>
        <color rgb="FFC00000"/>
      </colorScale>
    </cfRule>
  </conditionalFormatting>
  <conditionalFormatting sqref="N13:O13">
    <cfRule type="colorScale" priority="63">
      <colorScale>
        <cfvo type="num" val="1"/>
        <cfvo type="num" val="3"/>
        <cfvo type="num" val="5"/>
        <color theme="6" tint="-0.499984740745262"/>
        <color rgb="FFFFFF00"/>
        <color rgb="FFC00000"/>
      </colorScale>
    </cfRule>
  </conditionalFormatting>
  <conditionalFormatting sqref="I13">
    <cfRule type="cellIs" dxfId="742" priority="62" operator="equal">
      <formula>"BAJA"</formula>
    </cfRule>
  </conditionalFormatting>
  <conditionalFormatting sqref="I13">
    <cfRule type="cellIs" dxfId="741" priority="59" operator="equal">
      <formula>"EXTREMA"</formula>
    </cfRule>
    <cfRule type="cellIs" dxfId="740" priority="60" operator="equal">
      <formula>"ALTA"</formula>
    </cfRule>
    <cfRule type="cellIs" dxfId="739" priority="61" operator="equal">
      <formula>"MODERADA"</formula>
    </cfRule>
  </conditionalFormatting>
  <conditionalFormatting sqref="I12">
    <cfRule type="cellIs" dxfId="738" priority="34" operator="equal">
      <formula>"EXTREMA"</formula>
    </cfRule>
    <cfRule type="cellIs" dxfId="737" priority="35" operator="equal">
      <formula>"ALTA"</formula>
    </cfRule>
    <cfRule type="cellIs" dxfId="736" priority="36" operator="equal">
      <formula>"MODERADA"</formula>
    </cfRule>
    <cfRule type="cellIs" dxfId="735" priority="37" operator="equal">
      <formula>"BAJA"</formula>
    </cfRule>
  </conditionalFormatting>
  <conditionalFormatting sqref="P8:P9">
    <cfRule type="cellIs" dxfId="734" priority="29" operator="equal">
      <formula>"BAJA"</formula>
    </cfRule>
  </conditionalFormatting>
  <conditionalFormatting sqref="P8:P9">
    <cfRule type="cellIs" dxfId="733" priority="26" operator="equal">
      <formula>"EXTREMA"</formula>
    </cfRule>
    <cfRule type="cellIs" dxfId="732" priority="27" operator="equal">
      <formula>"ALTA"</formula>
    </cfRule>
    <cfRule type="cellIs" dxfId="731" priority="28" operator="equal">
      <formula>"MODERADA"</formula>
    </cfRule>
  </conditionalFormatting>
  <conditionalFormatting sqref="N8:O9">
    <cfRule type="colorScale" priority="25">
      <colorScale>
        <cfvo type="num" val="1"/>
        <cfvo type="num" val="3"/>
        <cfvo type="num" val="5"/>
        <color theme="6" tint="-0.499984740745262"/>
        <color rgb="FFFFFF00"/>
        <color rgb="FFC00000"/>
      </colorScale>
    </cfRule>
  </conditionalFormatting>
  <conditionalFormatting sqref="I11">
    <cfRule type="cellIs" dxfId="730" priority="17" operator="equal">
      <formula>"EXTREMA"</formula>
    </cfRule>
    <cfRule type="cellIs" dxfId="729" priority="18" operator="equal">
      <formula>"ALTA"</formula>
    </cfRule>
    <cfRule type="cellIs" dxfId="728" priority="19" operator="equal">
      <formula>"MODERADA"</formula>
    </cfRule>
    <cfRule type="cellIs" dxfId="727" priority="20" operator="equal">
      <formula>"BAJA"</formula>
    </cfRule>
  </conditionalFormatting>
  <conditionalFormatting sqref="I10">
    <cfRule type="cellIs" dxfId="726" priority="21" operator="equal">
      <formula>"EXTREMA"</formula>
    </cfRule>
    <cfRule type="cellIs" dxfId="725" priority="22" operator="equal">
      <formula>"ALTA"</formula>
    </cfRule>
    <cfRule type="cellIs" dxfId="724" priority="23" operator="equal">
      <formula>"MODERADA"</formula>
    </cfRule>
    <cfRule type="cellIs" dxfId="723" priority="24" operator="equal">
      <formula>"BAJA"</formula>
    </cfRule>
  </conditionalFormatting>
  <conditionalFormatting sqref="C22:D22">
    <cfRule type="colorScale" priority="16">
      <colorScale>
        <cfvo type="num" val="1"/>
        <cfvo type="num" val="3"/>
        <cfvo type="num" val="5"/>
        <color theme="6" tint="-0.499984740745262"/>
        <color rgb="FFFFFF00"/>
        <color rgb="FFC00000"/>
      </colorScale>
    </cfRule>
  </conditionalFormatting>
  <conditionalFormatting sqref="N10:O12">
    <cfRule type="colorScale" priority="5">
      <colorScale>
        <cfvo type="num" val="1"/>
        <cfvo type="num" val="3"/>
        <cfvo type="num" val="5"/>
        <color theme="6" tint="-0.499984740745262"/>
        <color rgb="FFFFFF00"/>
        <color rgb="FFC00000"/>
      </colorScale>
    </cfRule>
  </conditionalFormatting>
  <conditionalFormatting sqref="P10:P12">
    <cfRule type="cellIs" dxfId="722" priority="1" operator="equal">
      <formula>"EXTREMA"</formula>
    </cfRule>
    <cfRule type="cellIs" dxfId="721" priority="2" operator="equal">
      <formula>"ALTA"</formula>
    </cfRule>
    <cfRule type="cellIs" dxfId="720" priority="3" operator="equal">
      <formula>"MODERADA"</formula>
    </cfRule>
    <cfRule type="cellIs" dxfId="719" priority="4" operator="equal">
      <formula>"BAJA"</formula>
    </cfRule>
  </conditionalFormatting>
  <printOptions horizontalCentered="1"/>
  <pageMargins left="1.3779527559055118" right="0.55118110236220474" top="0.55118110236220474" bottom="0.55118110236220474" header="0.31496062992125984" footer="0.15748031496062992"/>
  <pageSetup paperSize="5" scale="50" fitToHeight="0" orientation="landscape" r:id="rId20"/>
  <ignoredErrors>
    <ignoredError sqref="W10:W11 W13" unlockedFormula="1"/>
  </ignoredErrors>
  <drawing r:id="rId21"/>
  <extLs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Listas!$C$4:$C$7</xm:f>
          </x14:formula1>
          <xm:sqref>K10:K12</xm:sqref>
        </x14:dataValidation>
        <x14:dataValidation type="list" showInputMessage="1" showErrorMessage="1" xr:uid="{00000000-0002-0000-0000-000001000000}">
          <x14:formula1>
            <xm:f>Listas!$D$4:$D$6</xm:f>
          </x14:formula1>
          <xm:sqref>L10:L12</xm:sqref>
        </x14:dataValidation>
        <x14:dataValidation type="list" showInputMessage="1" showErrorMessage="1" xr:uid="{00000000-0002-0000-0000-000002000000}">
          <x14:formula1>
            <xm:f>Listas!$A$4:$A$10</xm:f>
          </x14:formula1>
          <xm:sqref>F10:F13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autoPageBreaks="0" fitToPage="1"/>
  </sheetPr>
  <dimension ref="A1:AE54"/>
  <sheetViews>
    <sheetView topLeftCell="J1" zoomScale="70" zoomScaleNormal="70" workbookViewId="0">
      <selection activeCell="M10" sqref="M10"/>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6.4257812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2.42578125" style="229" customWidth="1"/>
    <col min="21" max="21" width="16.7109375" style="229" customWidth="1"/>
    <col min="22" max="22" width="30.140625" style="18" customWidth="1"/>
    <col min="23" max="24" width="36.7109375" style="229" hidden="1" customWidth="1"/>
    <col min="25" max="25" width="13.42578125" style="229" customWidth="1"/>
    <col min="26" max="26" width="17" style="229" customWidth="1"/>
    <col min="27" max="16384" width="11.42578125" style="229"/>
  </cols>
  <sheetData>
    <row r="1" spans="1:31" ht="31.5"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31" ht="31.5"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31" ht="31.5"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31"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321"/>
    </row>
    <row r="5" spans="1:31" s="253" customFormat="1" ht="24" customHeight="1" x14ac:dyDescent="0.25">
      <c r="A5" s="252"/>
      <c r="B5" s="553" t="s">
        <v>0</v>
      </c>
      <c r="C5" s="554"/>
      <c r="D5" s="316"/>
      <c r="E5" s="557" t="s">
        <v>13</v>
      </c>
      <c r="F5" s="557"/>
      <c r="G5" s="557"/>
      <c r="H5" s="557"/>
      <c r="I5" s="557"/>
      <c r="J5" s="557"/>
      <c r="K5" s="557"/>
      <c r="L5" s="557"/>
      <c r="M5" s="557"/>
      <c r="N5" s="557"/>
      <c r="O5" s="558"/>
      <c r="P5" s="553" t="s">
        <v>25</v>
      </c>
      <c r="Q5" s="554"/>
      <c r="R5" s="316">
        <v>2020</v>
      </c>
      <c r="S5" s="317"/>
      <c r="T5" s="318"/>
      <c r="V5" s="320"/>
    </row>
    <row r="6" spans="1:31" s="253" customFormat="1" ht="29.25" customHeight="1" x14ac:dyDescent="0.25">
      <c r="A6" s="252"/>
      <c r="B6" s="553" t="s">
        <v>1</v>
      </c>
      <c r="C6" s="554"/>
      <c r="D6" s="319"/>
      <c r="E6" s="559" t="s">
        <v>527</v>
      </c>
      <c r="F6" s="559"/>
      <c r="G6" s="559"/>
      <c r="H6" s="559"/>
      <c r="I6" s="559"/>
      <c r="J6" s="559"/>
      <c r="K6" s="559"/>
      <c r="L6" s="559"/>
      <c r="M6" s="559"/>
      <c r="N6" s="559"/>
      <c r="O6" s="559"/>
      <c r="P6" s="559"/>
      <c r="Q6" s="559"/>
      <c r="R6" s="559"/>
      <c r="S6" s="559"/>
      <c r="T6" s="560"/>
      <c r="V6" s="322"/>
    </row>
    <row r="7" spans="1:31" s="253" customFormat="1" ht="15" x14ac:dyDescent="0.25">
      <c r="A7" s="252"/>
      <c r="B7" s="255"/>
      <c r="C7" s="255"/>
      <c r="I7" s="254"/>
      <c r="J7" s="256"/>
      <c r="K7" s="256"/>
      <c r="P7" s="254"/>
      <c r="Q7" s="254"/>
      <c r="V7" s="254"/>
    </row>
    <row r="8" spans="1:31" s="258" customFormat="1" ht="30" customHeight="1" x14ac:dyDescent="0.25">
      <c r="A8" s="257"/>
      <c r="B8" s="546" t="s">
        <v>2</v>
      </c>
      <c r="C8" s="546" t="s">
        <v>3</v>
      </c>
      <c r="D8" s="546" t="s">
        <v>4</v>
      </c>
      <c r="E8" s="546" t="s">
        <v>5</v>
      </c>
      <c r="F8" s="549" t="s">
        <v>29</v>
      </c>
      <c r="G8" s="546" t="s">
        <v>213</v>
      </c>
      <c r="H8" s="546"/>
      <c r="I8" s="547" t="s">
        <v>24</v>
      </c>
      <c r="J8" s="542" t="s">
        <v>11</v>
      </c>
      <c r="K8" s="544" t="s">
        <v>35</v>
      </c>
      <c r="L8" s="545"/>
      <c r="M8" s="562" t="s">
        <v>211</v>
      </c>
      <c r="N8" s="546" t="s">
        <v>214</v>
      </c>
      <c r="O8" s="546"/>
      <c r="P8" s="547" t="s">
        <v>24</v>
      </c>
      <c r="Q8" s="549" t="s">
        <v>10</v>
      </c>
      <c r="R8" s="546" t="s">
        <v>8</v>
      </c>
      <c r="S8" s="550" t="s">
        <v>17</v>
      </c>
      <c r="T8" s="546" t="s">
        <v>311</v>
      </c>
      <c r="U8" s="542" t="s">
        <v>215</v>
      </c>
      <c r="V8" s="546" t="s">
        <v>9</v>
      </c>
      <c r="W8" s="566" t="s">
        <v>216</v>
      </c>
      <c r="X8" s="585"/>
      <c r="Y8" s="546" t="s">
        <v>623</v>
      </c>
      <c r="Z8" s="546"/>
    </row>
    <row r="9" spans="1:31" s="258" customFormat="1" ht="88.5" customHeight="1" x14ac:dyDescent="0.25">
      <c r="A9" s="257"/>
      <c r="B9" s="546"/>
      <c r="C9" s="546"/>
      <c r="D9" s="546"/>
      <c r="E9" s="546"/>
      <c r="F9" s="549"/>
      <c r="G9" s="282" t="s">
        <v>6</v>
      </c>
      <c r="H9" s="259" t="s">
        <v>7</v>
      </c>
      <c r="I9" s="548"/>
      <c r="J9" s="543"/>
      <c r="K9" s="260" t="s">
        <v>229</v>
      </c>
      <c r="L9" s="261" t="s">
        <v>230</v>
      </c>
      <c r="M9" s="563"/>
      <c r="N9" s="262" t="s">
        <v>6</v>
      </c>
      <c r="O9" s="263" t="s">
        <v>7</v>
      </c>
      <c r="P9" s="548"/>
      <c r="Q9" s="549"/>
      <c r="R9" s="546"/>
      <c r="S9" s="550"/>
      <c r="T9" s="546"/>
      <c r="U9" s="543"/>
      <c r="V9" s="546"/>
      <c r="W9" s="247" t="s">
        <v>206</v>
      </c>
      <c r="X9" s="427" t="s">
        <v>207</v>
      </c>
      <c r="Y9" s="418" t="s">
        <v>658</v>
      </c>
      <c r="Z9" s="418" t="s">
        <v>659</v>
      </c>
    </row>
    <row r="10" spans="1:31" s="253" customFormat="1" ht="162.75" customHeight="1" x14ac:dyDescent="0.25">
      <c r="A10" s="283">
        <v>1</v>
      </c>
      <c r="B10" s="326" t="s">
        <v>459</v>
      </c>
      <c r="C10" s="328" t="s">
        <v>460</v>
      </c>
      <c r="D10" s="326"/>
      <c r="E10" s="326" t="s">
        <v>461</v>
      </c>
      <c r="F10" s="267" t="s">
        <v>15</v>
      </c>
      <c r="G10" s="265">
        <v>4</v>
      </c>
      <c r="H10" s="265">
        <v>3</v>
      </c>
      <c r="I10" s="407" t="str">
        <f>INDEX([11]Listas!$L$4:$P$8,G10,H10)</f>
        <v>ALTA</v>
      </c>
      <c r="J10" s="328" t="s">
        <v>467</v>
      </c>
      <c r="K10" s="267" t="s">
        <v>227</v>
      </c>
      <c r="L10" s="379" t="s">
        <v>6</v>
      </c>
      <c r="M10" s="491">
        <v>85</v>
      </c>
      <c r="N10" s="265">
        <v>2</v>
      </c>
      <c r="O10" s="265">
        <v>3</v>
      </c>
      <c r="P10" s="407" t="str">
        <f>INDEX([11]Listas!$L$4:$P$8,N10,O10)</f>
        <v>MODERADA</v>
      </c>
      <c r="Q10" s="267" t="s">
        <v>478</v>
      </c>
      <c r="R10" s="329" t="s">
        <v>470</v>
      </c>
      <c r="S10" s="331" t="s">
        <v>471</v>
      </c>
      <c r="T10" s="329" t="s">
        <v>472</v>
      </c>
      <c r="U10" s="329" t="s">
        <v>473</v>
      </c>
      <c r="V10" s="329" t="s">
        <v>612</v>
      </c>
      <c r="W10" s="273"/>
      <c r="X10" s="436"/>
      <c r="Y10" s="412">
        <f>6/6</f>
        <v>1</v>
      </c>
      <c r="Z10" s="378">
        <f>12/12</f>
        <v>1</v>
      </c>
    </row>
    <row r="11" spans="1:31" s="253" customFormat="1" ht="173.25" customHeight="1" x14ac:dyDescent="0.25">
      <c r="A11" s="283">
        <v>2</v>
      </c>
      <c r="B11" s="329" t="s">
        <v>462</v>
      </c>
      <c r="C11" s="327" t="s">
        <v>463</v>
      </c>
      <c r="D11" s="329"/>
      <c r="E11" s="329" t="s">
        <v>464</v>
      </c>
      <c r="F11" s="267" t="s">
        <v>15</v>
      </c>
      <c r="G11" s="265">
        <v>4</v>
      </c>
      <c r="H11" s="265">
        <v>2</v>
      </c>
      <c r="I11" s="407" t="str">
        <f>INDEX([11]Listas!$L$4:$P$8,G11,H11)</f>
        <v>ALTA</v>
      </c>
      <c r="J11" s="327" t="s">
        <v>468</v>
      </c>
      <c r="K11" s="267" t="s">
        <v>228</v>
      </c>
      <c r="L11" s="379" t="s">
        <v>6</v>
      </c>
      <c r="M11" s="499">
        <v>30</v>
      </c>
      <c r="N11" s="265">
        <v>2</v>
      </c>
      <c r="O11" s="265">
        <v>2</v>
      </c>
      <c r="P11" s="407" t="str">
        <f>INDEX([11]Listas!$L$4:$P$8,N11,O11)</f>
        <v>BAJA</v>
      </c>
      <c r="Q11" s="267" t="s">
        <v>478</v>
      </c>
      <c r="R11" s="338" t="s">
        <v>511</v>
      </c>
      <c r="S11" s="331" t="s">
        <v>20</v>
      </c>
      <c r="T11" s="329" t="s">
        <v>474</v>
      </c>
      <c r="U11" s="329" t="s">
        <v>475</v>
      </c>
      <c r="V11" s="329" t="s">
        <v>613</v>
      </c>
      <c r="W11" s="273"/>
      <c r="X11" s="436"/>
      <c r="Y11" s="378" t="s">
        <v>723</v>
      </c>
      <c r="Z11" s="378" t="s">
        <v>723</v>
      </c>
      <c r="AB11" s="537"/>
      <c r="AC11" s="538"/>
      <c r="AD11" s="539"/>
      <c r="AE11" s="539"/>
    </row>
    <row r="12" spans="1:31" s="253" customFormat="1" ht="164.25" customHeight="1" x14ac:dyDescent="0.25">
      <c r="A12" s="283">
        <v>3</v>
      </c>
      <c r="B12" s="329" t="s">
        <v>465</v>
      </c>
      <c r="C12" s="327" t="s">
        <v>652</v>
      </c>
      <c r="D12" s="329"/>
      <c r="E12" s="329" t="s">
        <v>466</v>
      </c>
      <c r="F12" s="267" t="s">
        <v>15</v>
      </c>
      <c r="G12" s="265">
        <v>4</v>
      </c>
      <c r="H12" s="265">
        <v>3</v>
      </c>
      <c r="I12" s="407" t="str">
        <f>INDEX([11]Listas!$L$4:$P$8,G12,H12)</f>
        <v>ALTA</v>
      </c>
      <c r="J12" s="327" t="s">
        <v>469</v>
      </c>
      <c r="K12" s="267" t="s">
        <v>228</v>
      </c>
      <c r="L12" s="379" t="s">
        <v>6</v>
      </c>
      <c r="M12" s="491">
        <v>85</v>
      </c>
      <c r="N12" s="265">
        <v>1</v>
      </c>
      <c r="O12" s="265">
        <v>3</v>
      </c>
      <c r="P12" s="407" t="str">
        <f>INDEX([11]Listas!$L$4:$P$8,N12,O12)</f>
        <v>MODERADA</v>
      </c>
      <c r="Q12" s="267" t="s">
        <v>478</v>
      </c>
      <c r="R12" s="338" t="s">
        <v>512</v>
      </c>
      <c r="S12" s="331" t="s">
        <v>471</v>
      </c>
      <c r="T12" s="329" t="s">
        <v>476</v>
      </c>
      <c r="U12" s="329" t="s">
        <v>477</v>
      </c>
      <c r="V12" s="329" t="s">
        <v>744</v>
      </c>
      <c r="W12" s="273"/>
      <c r="X12" s="436"/>
      <c r="Y12" s="378">
        <f>5/6</f>
        <v>0.83333333333333337</v>
      </c>
      <c r="Z12" s="378">
        <f>6/6</f>
        <v>1</v>
      </c>
    </row>
    <row r="13" spans="1:31" ht="31.5" customHeight="1" x14ac:dyDescent="0.2">
      <c r="B13" s="12"/>
      <c r="C13" s="12"/>
      <c r="D13" s="12"/>
      <c r="E13" s="12"/>
      <c r="F13" s="12"/>
      <c r="G13" s="9"/>
      <c r="I13" s="10"/>
      <c r="J13" s="19"/>
      <c r="K13" s="19"/>
      <c r="L13" s="9"/>
      <c r="M13" s="11"/>
      <c r="Y13" s="437">
        <f>AVERAGE(Y10:Y12)</f>
        <v>0.91666666666666674</v>
      </c>
      <c r="Z13" s="437">
        <f>AVERAGE(Z10:Z12)</f>
        <v>1</v>
      </c>
    </row>
    <row r="14" spans="1:31" x14ac:dyDescent="0.2">
      <c r="B14" s="571"/>
      <c r="C14" s="571"/>
      <c r="D14" s="571"/>
      <c r="E14" s="571"/>
      <c r="F14" s="571"/>
      <c r="G14" s="541" t="s">
        <v>97</v>
      </c>
      <c r="H14" s="541"/>
      <c r="I14" s="36">
        <f>COUNTIF(I10:I12,"BAJA")</f>
        <v>0</v>
      </c>
      <c r="J14" s="19"/>
      <c r="K14" s="19"/>
      <c r="L14" s="9"/>
      <c r="M14" s="12"/>
      <c r="N14" s="541" t="s">
        <v>97</v>
      </c>
      <c r="O14" s="541"/>
      <c r="P14" s="36">
        <f>COUNTIF(P10:P12,"BAJA")</f>
        <v>1</v>
      </c>
      <c r="Y14" s="410"/>
    </row>
    <row r="15" spans="1:31" x14ac:dyDescent="0.2">
      <c r="D15" s="9"/>
      <c r="E15" s="9"/>
      <c r="F15" s="9"/>
      <c r="G15" s="541" t="s">
        <v>99</v>
      </c>
      <c r="H15" s="541"/>
      <c r="I15" s="36">
        <f>COUNTIF(I10:I12,"MODERADA")</f>
        <v>0</v>
      </c>
      <c r="J15" s="19"/>
      <c r="K15" s="19"/>
      <c r="L15" s="9"/>
      <c r="M15" s="9"/>
      <c r="N15" s="541" t="s">
        <v>99</v>
      </c>
      <c r="O15" s="541"/>
      <c r="P15" s="36">
        <f>COUNTIF(P10:P12,"MODERADA")</f>
        <v>2</v>
      </c>
      <c r="Q15" s="229"/>
      <c r="V15" s="229"/>
    </row>
    <row r="16" spans="1:31" x14ac:dyDescent="0.2">
      <c r="B16" s="9"/>
      <c r="D16" s="9"/>
      <c r="E16" s="9"/>
      <c r="F16" s="9"/>
      <c r="G16" s="541" t="s">
        <v>98</v>
      </c>
      <c r="H16" s="541"/>
      <c r="I16" s="36">
        <f>COUNTIF(I10:I12,"ALTA")</f>
        <v>3</v>
      </c>
      <c r="J16" s="19"/>
      <c r="K16" s="19"/>
      <c r="L16" s="9"/>
      <c r="M16" s="9"/>
      <c r="N16" s="541" t="s">
        <v>98</v>
      </c>
      <c r="O16" s="541"/>
      <c r="P16" s="36">
        <f>COUNTIF(P10:P12,"ALTA")</f>
        <v>0</v>
      </c>
      <c r="Q16" s="229"/>
      <c r="V16" s="229"/>
    </row>
    <row r="17" spans="2:22" ht="15.75" x14ac:dyDescent="0.2">
      <c r="B17" s="341"/>
      <c r="C17" s="9"/>
      <c r="D17" s="9"/>
      <c r="E17" s="340"/>
      <c r="G17" s="541" t="s">
        <v>100</v>
      </c>
      <c r="H17" s="541"/>
      <c r="I17" s="36">
        <f>COUNTIF(I10:I12,"EXTREMA")</f>
        <v>0</v>
      </c>
      <c r="J17" s="19"/>
      <c r="K17" s="19"/>
      <c r="L17" s="9"/>
      <c r="M17" s="9"/>
      <c r="N17" s="541" t="s">
        <v>100</v>
      </c>
      <c r="O17" s="541"/>
      <c r="P17" s="36">
        <f>COUNTIF(P10:P12,"EXTREMA")</f>
        <v>0</v>
      </c>
      <c r="Q17" s="229"/>
      <c r="V17" s="229"/>
    </row>
    <row r="18" spans="2:22" x14ac:dyDescent="0.2">
      <c r="D18" s="9"/>
      <c r="E18" s="9"/>
      <c r="G18" s="9"/>
      <c r="H18" s="9"/>
      <c r="I18" s="10"/>
      <c r="J18" s="19"/>
      <c r="K18" s="19"/>
      <c r="L18" s="9"/>
      <c r="M18" s="9"/>
      <c r="P18" s="229"/>
      <c r="Q18" s="229"/>
      <c r="V18" s="229"/>
    </row>
    <row r="19" spans="2:22" x14ac:dyDescent="0.2">
      <c r="D19" s="9"/>
      <c r="E19" s="9"/>
      <c r="G19" s="9"/>
      <c r="H19" s="9"/>
      <c r="I19" s="10"/>
      <c r="J19" s="19"/>
      <c r="K19" s="19"/>
      <c r="L19" s="9"/>
      <c r="M19" s="9"/>
      <c r="P19" s="229"/>
      <c r="Q19" s="229"/>
      <c r="V19" s="229"/>
    </row>
    <row r="20" spans="2:22" ht="15" x14ac:dyDescent="0.2">
      <c r="B20" s="367"/>
      <c r="C20" s="368"/>
      <c r="D20" s="362"/>
      <c r="E20" s="233"/>
      <c r="F20" s="233"/>
      <c r="G20" s="233"/>
      <c r="H20" s="9"/>
      <c r="I20" s="10"/>
      <c r="P20" s="229"/>
      <c r="Q20" s="229"/>
      <c r="V20" s="229"/>
    </row>
    <row r="21" spans="2:22" ht="15" x14ac:dyDescent="0.2">
      <c r="B21" s="363" t="s">
        <v>655</v>
      </c>
      <c r="C21" s="366"/>
      <c r="D21" s="364"/>
      <c r="E21" s="365" t="s">
        <v>654</v>
      </c>
      <c r="F21" s="365"/>
      <c r="G21" s="365"/>
      <c r="H21" s="9"/>
      <c r="I21" s="10"/>
      <c r="P21" s="229"/>
      <c r="Q21" s="229"/>
      <c r="V21" s="229"/>
    </row>
    <row r="22" spans="2:22" ht="15" x14ac:dyDescent="0.2">
      <c r="B22" s="232" t="s">
        <v>244</v>
      </c>
      <c r="C22" s="171"/>
      <c r="D22" s="172"/>
      <c r="E22" s="232" t="s">
        <v>245</v>
      </c>
      <c r="F22" s="171"/>
      <c r="G22" s="14"/>
      <c r="H22" s="9"/>
      <c r="I22" s="10"/>
      <c r="P22" s="229"/>
      <c r="Q22" s="229"/>
      <c r="V22" s="229"/>
    </row>
    <row r="23" spans="2:22" x14ac:dyDescent="0.2">
      <c r="D23" s="9"/>
      <c r="H23" s="9"/>
      <c r="I23" s="10"/>
      <c r="P23" s="229"/>
      <c r="Q23" s="229"/>
      <c r="V23" s="229"/>
    </row>
    <row r="24" spans="2:22" x14ac:dyDescent="0.2">
      <c r="D24" s="9"/>
      <c r="H24" s="9"/>
      <c r="I24" s="10"/>
      <c r="P24" s="229"/>
      <c r="Q24" s="229"/>
      <c r="V24" s="229"/>
    </row>
    <row r="25" spans="2:22" x14ac:dyDescent="0.2">
      <c r="D25" s="9"/>
      <c r="H25" s="9"/>
      <c r="I25" s="10"/>
      <c r="P25" s="229"/>
      <c r="Q25" s="229"/>
      <c r="V25" s="229"/>
    </row>
    <row r="26" spans="2:22" x14ac:dyDescent="0.2">
      <c r="D26" s="9"/>
      <c r="H26" s="9"/>
      <c r="I26" s="10"/>
      <c r="P26" s="229"/>
      <c r="Q26" s="229"/>
      <c r="V26" s="229"/>
    </row>
    <row r="27" spans="2:22" x14ac:dyDescent="0.2">
      <c r="D27" s="9"/>
      <c r="H27" s="9"/>
      <c r="I27" s="10"/>
      <c r="P27" s="229"/>
      <c r="Q27" s="229"/>
      <c r="V27" s="229"/>
    </row>
    <row r="28" spans="2:22" x14ac:dyDescent="0.2">
      <c r="D28" s="9"/>
      <c r="P28" s="229"/>
      <c r="Q28" s="229"/>
      <c r="V28" s="229"/>
    </row>
    <row r="29" spans="2:22" x14ac:dyDescent="0.2">
      <c r="D29" s="9"/>
      <c r="P29" s="229"/>
      <c r="Q29" s="229"/>
      <c r="V29" s="229"/>
    </row>
    <row r="30" spans="2:22" x14ac:dyDescent="0.2">
      <c r="D30" s="9"/>
      <c r="P30" s="229"/>
      <c r="Q30" s="229"/>
      <c r="V30" s="229"/>
    </row>
    <row r="31" spans="2:22" x14ac:dyDescent="0.2">
      <c r="D31" s="9"/>
      <c r="I31" s="229"/>
      <c r="J31" s="229"/>
      <c r="K31" s="229"/>
      <c r="P31" s="229"/>
      <c r="Q31" s="229"/>
      <c r="V31" s="229"/>
    </row>
    <row r="32" spans="2:22" x14ac:dyDescent="0.2">
      <c r="D32" s="9"/>
      <c r="I32" s="229"/>
      <c r="J32" s="229"/>
      <c r="K32" s="22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row r="54" spans="4:22" x14ac:dyDescent="0.2">
      <c r="D54" s="9"/>
      <c r="I54" s="229"/>
      <c r="J54" s="229"/>
      <c r="K54" s="229"/>
      <c r="P54" s="229"/>
      <c r="Q54" s="229"/>
      <c r="V54" s="229"/>
    </row>
  </sheetData>
  <customSheetViews>
    <customSheetView guid="{B83C9EB8-C964-4489-98C8-19C81BFAE010}"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
    </customSheetView>
    <customSheetView guid="{42BB51DB-DC3E-4DA5-9499-5574EB19780E}"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2"/>
    </customSheetView>
    <customSheetView guid="{D8BB7E15-0E8F-45FC-AD1A-6D8C295A087C}"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3"/>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2"/>
    </customSheetView>
    <customSheetView guid="{E51A7B7A-B72C-4D0D-BEC9-3100296DDB1B}"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3"/>
    </customSheetView>
    <customSheetView guid="{C9A17BF0-2451-44C4-898F-CFB8403323EA}"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4"/>
    </customSheetView>
    <customSheetView guid="{DC041AD4-35AB-4F1B-9F3D-F08C88A9A16C}"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5"/>
    </customSheetView>
    <customSheetView guid="{CC42E740-ADA2-4B3E-AB77-9BBCCE9EC444}"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6"/>
    </customSheetView>
    <customSheetView guid="{AF3BF2A1-5C19-43AE-A08B-3E418E8AE543}"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7"/>
    </customSheetView>
    <customSheetView guid="{ADD38025-F4B2-44E2-9D06-07A9BF0F3A51}"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8"/>
    </customSheetView>
    <customSheetView guid="{97D65C1E-976A-4956-97FC-0E8188ABCFAA}"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9"/>
    </customSheetView>
  </customSheetViews>
  <mergeCells count="36">
    <mergeCell ref="Y8:Z8"/>
    <mergeCell ref="B6:C6"/>
    <mergeCell ref="E6:T6"/>
    <mergeCell ref="B1:C3"/>
    <mergeCell ref="D1:U3"/>
    <mergeCell ref="B5:C5"/>
    <mergeCell ref="E5:O5"/>
    <mergeCell ref="P5:Q5"/>
    <mergeCell ref="W8:X8"/>
    <mergeCell ref="M8:M9"/>
    <mergeCell ref="U8:U9"/>
    <mergeCell ref="K8:L8"/>
    <mergeCell ref="T8:T9"/>
    <mergeCell ref="G15:H15"/>
    <mergeCell ref="G16:H16"/>
    <mergeCell ref="G17:H17"/>
    <mergeCell ref="N14:O14"/>
    <mergeCell ref="N15:O15"/>
    <mergeCell ref="N16:O16"/>
    <mergeCell ref="N17:O17"/>
    <mergeCell ref="B14:F14"/>
    <mergeCell ref="V8:V9"/>
    <mergeCell ref="G14:H14"/>
    <mergeCell ref="B8:B9"/>
    <mergeCell ref="C8:C9"/>
    <mergeCell ref="N8:O8"/>
    <mergeCell ref="P8:P9"/>
    <mergeCell ref="Q8:Q9"/>
    <mergeCell ref="R8:R9"/>
    <mergeCell ref="S8:S9"/>
    <mergeCell ref="F8:F9"/>
    <mergeCell ref="I8:I9"/>
    <mergeCell ref="J8:J9"/>
    <mergeCell ref="D8:D9"/>
    <mergeCell ref="E8:E9"/>
    <mergeCell ref="G8:H8"/>
  </mergeCells>
  <conditionalFormatting sqref="F13:G19 N7:O7 N13:O1048576 F23:G1048576">
    <cfRule type="colorScale" priority="100">
      <colorScale>
        <cfvo type="num" val="1"/>
        <cfvo type="num" val="3"/>
        <cfvo type="num" val="5"/>
        <color theme="6" tint="-0.499984740745262"/>
        <color rgb="FFFFFF00"/>
        <color rgb="FFC00000"/>
      </colorScale>
    </cfRule>
  </conditionalFormatting>
  <conditionalFormatting sqref="I7 P7 I13:I1048576 P13:P1048576">
    <cfRule type="cellIs" dxfId="394" priority="97" operator="equal">
      <formula>"BAJA"</formula>
    </cfRule>
  </conditionalFormatting>
  <conditionalFormatting sqref="I7 P7 I13:I1048576 P13:P1048576">
    <cfRule type="cellIs" dxfId="393" priority="94" operator="equal">
      <formula>"EXTREMA"</formula>
    </cfRule>
    <cfRule type="cellIs" dxfId="392" priority="95" operator="equal">
      <formula>"ALTA"</formula>
    </cfRule>
    <cfRule type="cellIs" dxfId="391" priority="96" operator="equal">
      <formula>"MODERADA"</formula>
    </cfRule>
  </conditionalFormatting>
  <conditionalFormatting sqref="F7:G7">
    <cfRule type="colorScale" priority="75">
      <colorScale>
        <cfvo type="num" val="1"/>
        <cfvo type="num" val="3"/>
        <cfvo type="num" val="5"/>
        <color theme="6" tint="-0.499984740745262"/>
        <color rgb="FFFFFF00"/>
        <color rgb="FFC00000"/>
      </colorScale>
    </cfRule>
  </conditionalFormatting>
  <conditionalFormatting sqref="I14:I17">
    <cfRule type="cellIs" dxfId="390" priority="74" operator="equal">
      <formula>"BAJA"</formula>
    </cfRule>
  </conditionalFormatting>
  <conditionalFormatting sqref="I14:I17">
    <cfRule type="cellIs" dxfId="389" priority="71" operator="equal">
      <formula>"EXTREMA"</formula>
    </cfRule>
    <cfRule type="cellIs" dxfId="388" priority="72" operator="equal">
      <formula>"ALTA"</formula>
    </cfRule>
    <cfRule type="cellIs" dxfId="387" priority="73" operator="equal">
      <formula>"MODERADA"</formula>
    </cfRule>
  </conditionalFormatting>
  <conditionalFormatting sqref="G14:G17">
    <cfRule type="colorScale" priority="70">
      <colorScale>
        <cfvo type="num" val="1"/>
        <cfvo type="num" val="3"/>
        <cfvo type="num" val="5"/>
        <color theme="6" tint="-0.499984740745262"/>
        <color rgb="FFFFFF00"/>
        <color rgb="FFC00000"/>
      </colorScale>
    </cfRule>
  </conditionalFormatting>
  <conditionalFormatting sqref="I14:I17">
    <cfRule type="cellIs" dxfId="386" priority="69" operator="equal">
      <formula>"BAJA"</formula>
    </cfRule>
  </conditionalFormatting>
  <conditionalFormatting sqref="I14:I17">
    <cfRule type="cellIs" dxfId="385" priority="66" operator="equal">
      <formula>"EXTREMA"</formula>
    </cfRule>
    <cfRule type="cellIs" dxfId="384" priority="67" operator="equal">
      <formula>"ALTA"</formula>
    </cfRule>
    <cfRule type="cellIs" dxfId="383" priority="68" operator="equal">
      <formula>"MODERADA"</formula>
    </cfRule>
  </conditionalFormatting>
  <conditionalFormatting sqref="G14:G17">
    <cfRule type="colorScale" priority="65">
      <colorScale>
        <cfvo type="num" val="1"/>
        <cfvo type="num" val="3"/>
        <cfvo type="num" val="5"/>
        <color theme="6" tint="-0.499984740745262"/>
        <color rgb="FFFFFF00"/>
        <color rgb="FFC00000"/>
      </colorScale>
    </cfRule>
  </conditionalFormatting>
  <conditionalFormatting sqref="I14:I17">
    <cfRule type="cellIs" dxfId="382" priority="64" operator="equal">
      <formula>"BAJA"</formula>
    </cfRule>
  </conditionalFormatting>
  <conditionalFormatting sqref="I14:I17">
    <cfRule type="cellIs" dxfId="381" priority="61" operator="equal">
      <formula>"EXTREMA"</formula>
    </cfRule>
    <cfRule type="cellIs" dxfId="380" priority="62" operator="equal">
      <formula>"ALTA"</formula>
    </cfRule>
    <cfRule type="cellIs" dxfId="379" priority="63" operator="equal">
      <formula>"MODERADA"</formula>
    </cfRule>
  </conditionalFormatting>
  <conditionalFormatting sqref="G14:G17">
    <cfRule type="colorScale" priority="60">
      <colorScale>
        <cfvo type="num" val="1"/>
        <cfvo type="num" val="3"/>
        <cfvo type="num" val="5"/>
        <color theme="6" tint="-0.499984740745262"/>
        <color rgb="FFFFFF00"/>
        <color rgb="FFC00000"/>
      </colorScale>
    </cfRule>
  </conditionalFormatting>
  <conditionalFormatting sqref="I14:I17">
    <cfRule type="cellIs" dxfId="378" priority="59" operator="equal">
      <formula>"BAJA"</formula>
    </cfRule>
  </conditionalFormatting>
  <conditionalFormatting sqref="I14:I17">
    <cfRule type="cellIs" dxfId="377" priority="56" operator="equal">
      <formula>"EXTREMA"</formula>
    </cfRule>
    <cfRule type="cellIs" dxfId="376" priority="57" operator="equal">
      <formula>"ALTA"</formula>
    </cfRule>
    <cfRule type="cellIs" dxfId="375" priority="58" operator="equal">
      <formula>"MODERADA"</formula>
    </cfRule>
  </conditionalFormatting>
  <conditionalFormatting sqref="G14:G17">
    <cfRule type="colorScale" priority="55">
      <colorScale>
        <cfvo type="num" val="1"/>
        <cfvo type="num" val="3"/>
        <cfvo type="num" val="5"/>
        <color theme="6" tint="-0.499984740745262"/>
        <color rgb="FFFFFF00"/>
        <color rgb="FFC00000"/>
      </colorScale>
    </cfRule>
  </conditionalFormatting>
  <conditionalFormatting sqref="I14:I17">
    <cfRule type="cellIs" dxfId="374" priority="54" operator="equal">
      <formula>"BAJA"</formula>
    </cfRule>
  </conditionalFormatting>
  <conditionalFormatting sqref="I14:I17">
    <cfRule type="cellIs" dxfId="373" priority="51" operator="equal">
      <formula>"EXTREMA"</formula>
    </cfRule>
    <cfRule type="cellIs" dxfId="372" priority="52" operator="equal">
      <formula>"ALTA"</formula>
    </cfRule>
    <cfRule type="cellIs" dxfId="371" priority="53" operator="equal">
      <formula>"MODERADA"</formula>
    </cfRule>
  </conditionalFormatting>
  <conditionalFormatting sqref="P14:P17">
    <cfRule type="cellIs" dxfId="370" priority="50" operator="equal">
      <formula>"BAJA"</formula>
    </cfRule>
  </conditionalFormatting>
  <conditionalFormatting sqref="P14:P17">
    <cfRule type="cellIs" dxfId="369" priority="47" operator="equal">
      <formula>"EXTREMA"</formula>
    </cfRule>
    <cfRule type="cellIs" dxfId="368" priority="48" operator="equal">
      <formula>"ALTA"</formula>
    </cfRule>
    <cfRule type="cellIs" dxfId="367" priority="49" operator="equal">
      <formula>"MODERADA"</formula>
    </cfRule>
  </conditionalFormatting>
  <conditionalFormatting sqref="N14:N17">
    <cfRule type="colorScale" priority="46">
      <colorScale>
        <cfvo type="num" val="1"/>
        <cfvo type="num" val="3"/>
        <cfvo type="num" val="5"/>
        <color theme="6" tint="-0.499984740745262"/>
        <color rgb="FFFFFF00"/>
        <color rgb="FFC00000"/>
      </colorScale>
    </cfRule>
  </conditionalFormatting>
  <conditionalFormatting sqref="P14:P17">
    <cfRule type="cellIs" dxfId="366" priority="45" operator="equal">
      <formula>"BAJA"</formula>
    </cfRule>
  </conditionalFormatting>
  <conditionalFormatting sqref="P14:P17">
    <cfRule type="cellIs" dxfId="365" priority="42" operator="equal">
      <formula>"EXTREMA"</formula>
    </cfRule>
    <cfRule type="cellIs" dxfId="364" priority="43" operator="equal">
      <formula>"ALTA"</formula>
    </cfRule>
    <cfRule type="cellIs" dxfId="363" priority="44" operator="equal">
      <formula>"MODERADA"</formula>
    </cfRule>
  </conditionalFormatting>
  <conditionalFormatting sqref="N14:N17">
    <cfRule type="colorScale" priority="41">
      <colorScale>
        <cfvo type="num" val="1"/>
        <cfvo type="num" val="3"/>
        <cfvo type="num" val="5"/>
        <color theme="6" tint="-0.499984740745262"/>
        <color rgb="FFFFFF00"/>
        <color rgb="FFC00000"/>
      </colorScale>
    </cfRule>
  </conditionalFormatting>
  <conditionalFormatting sqref="P14:P17">
    <cfRule type="cellIs" dxfId="362" priority="40" operator="equal">
      <formula>"BAJA"</formula>
    </cfRule>
  </conditionalFormatting>
  <conditionalFormatting sqref="P14:P17">
    <cfRule type="cellIs" dxfId="361" priority="37" operator="equal">
      <formula>"EXTREMA"</formula>
    </cfRule>
    <cfRule type="cellIs" dxfId="360" priority="38" operator="equal">
      <formula>"ALTA"</formula>
    </cfRule>
    <cfRule type="cellIs" dxfId="359" priority="39" operator="equal">
      <formula>"MODERADA"</formula>
    </cfRule>
  </conditionalFormatting>
  <conditionalFormatting sqref="N14:N17">
    <cfRule type="colorScale" priority="36">
      <colorScale>
        <cfvo type="num" val="1"/>
        <cfvo type="num" val="3"/>
        <cfvo type="num" val="5"/>
        <color theme="6" tint="-0.499984740745262"/>
        <color rgb="FFFFFF00"/>
        <color rgb="FFC00000"/>
      </colorScale>
    </cfRule>
  </conditionalFormatting>
  <conditionalFormatting sqref="P14:P17">
    <cfRule type="cellIs" dxfId="358" priority="35" operator="equal">
      <formula>"BAJA"</formula>
    </cfRule>
  </conditionalFormatting>
  <conditionalFormatting sqref="P14:P17">
    <cfRule type="cellIs" dxfId="357" priority="32" operator="equal">
      <formula>"EXTREMA"</formula>
    </cfRule>
    <cfRule type="cellIs" dxfId="356" priority="33" operator="equal">
      <formula>"ALTA"</formula>
    </cfRule>
    <cfRule type="cellIs" dxfId="355" priority="34" operator="equal">
      <formula>"MODERADA"</formula>
    </cfRule>
  </conditionalFormatting>
  <conditionalFormatting sqref="N14:N17">
    <cfRule type="colorScale" priority="31">
      <colorScale>
        <cfvo type="num" val="1"/>
        <cfvo type="num" val="3"/>
        <cfvo type="num" val="5"/>
        <color theme="6" tint="-0.499984740745262"/>
        <color rgb="FFFFFF00"/>
        <color rgb="FFC00000"/>
      </colorScale>
    </cfRule>
  </conditionalFormatting>
  <conditionalFormatting sqref="P14:P17">
    <cfRule type="cellIs" dxfId="354" priority="30" operator="equal">
      <formula>"BAJA"</formula>
    </cfRule>
  </conditionalFormatting>
  <conditionalFormatting sqref="P14:P17">
    <cfRule type="cellIs" dxfId="353" priority="27" operator="equal">
      <formula>"EXTREMA"</formula>
    </cfRule>
    <cfRule type="cellIs" dxfId="352" priority="28" operator="equal">
      <formula>"ALTA"</formula>
    </cfRule>
    <cfRule type="cellIs" dxfId="351" priority="29" operator="equal">
      <formula>"MODERADA"</formula>
    </cfRule>
  </conditionalFormatting>
  <conditionalFormatting sqref="I8:I9 P8:P9">
    <cfRule type="cellIs" dxfId="350" priority="17" operator="equal">
      <formula>"BAJA"</formula>
    </cfRule>
  </conditionalFormatting>
  <conditionalFormatting sqref="I8:I9 P8:P9">
    <cfRule type="cellIs" dxfId="349" priority="14" operator="equal">
      <formula>"EXTREMA"</formula>
    </cfRule>
    <cfRule type="cellIs" dxfId="348" priority="15" operator="equal">
      <formula>"ALTA"</formula>
    </cfRule>
    <cfRule type="cellIs" dxfId="347" priority="16" operator="equal">
      <formula>"MODERADA"</formula>
    </cfRule>
  </conditionalFormatting>
  <conditionalFormatting sqref="G8:H9 N8:O9">
    <cfRule type="colorScale" priority="13">
      <colorScale>
        <cfvo type="num" val="1"/>
        <cfvo type="num" val="3"/>
        <cfvo type="num" val="5"/>
        <color theme="6" tint="-0.499984740745262"/>
        <color rgb="FFFFFF00"/>
        <color rgb="FFC00000"/>
      </colorScale>
    </cfRule>
  </conditionalFormatting>
  <conditionalFormatting sqref="F4:G4 N4:O4">
    <cfRule type="colorScale" priority="12">
      <colorScale>
        <cfvo type="num" val="1"/>
        <cfvo type="num" val="3"/>
        <cfvo type="num" val="5"/>
        <color theme="6" tint="-0.499984740745262"/>
        <color rgb="FFFFFF00"/>
        <color rgb="FFC00000"/>
      </colorScale>
    </cfRule>
  </conditionalFormatting>
  <conditionalFormatting sqref="G10:H12">
    <cfRule type="colorScale" priority="11">
      <colorScale>
        <cfvo type="num" val="1"/>
        <cfvo type="num" val="3"/>
        <cfvo type="num" val="5"/>
        <color theme="6" tint="-0.499984740745262"/>
        <color rgb="FFFFFF00"/>
        <color rgb="FFC00000"/>
      </colorScale>
    </cfRule>
  </conditionalFormatting>
  <conditionalFormatting sqref="I10:I12">
    <cfRule type="cellIs" dxfId="346" priority="7" operator="equal">
      <formula>"EXTREMA"</formula>
    </cfRule>
    <cfRule type="cellIs" dxfId="345" priority="8" operator="equal">
      <formula>"ALTA"</formula>
    </cfRule>
    <cfRule type="cellIs" dxfId="344" priority="9" operator="equal">
      <formula>"MODERADA"</formula>
    </cfRule>
    <cfRule type="cellIs" dxfId="343" priority="10" operator="equal">
      <formula>"BAJA"</formula>
    </cfRule>
  </conditionalFormatting>
  <conditionalFormatting sqref="P10:P12">
    <cfRule type="cellIs" dxfId="342" priority="3" operator="equal">
      <formula>"EXTREMA"</formula>
    </cfRule>
    <cfRule type="cellIs" dxfId="341" priority="4" operator="equal">
      <formula>"ALTA"</formula>
    </cfRule>
    <cfRule type="cellIs" dxfId="340" priority="5" operator="equal">
      <formula>"MODERADA"</formula>
    </cfRule>
    <cfRule type="cellIs" dxfId="339" priority="6" operator="equal">
      <formula>"BAJA"</formula>
    </cfRule>
  </conditionalFormatting>
  <conditionalFormatting sqref="N10:O12">
    <cfRule type="colorScale" priority="2">
      <colorScale>
        <cfvo type="num" val="1"/>
        <cfvo type="num" val="3"/>
        <cfvo type="num" val="5"/>
        <color theme="6" tint="-0.499984740745262"/>
        <color rgb="FFFFFF00"/>
        <color rgb="FFC00000"/>
      </colorScale>
    </cfRule>
  </conditionalFormatting>
  <conditionalFormatting sqref="F20:G22">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23622047244094491" top="0.94488188976377963" bottom="0.6" header="0.31496062992125984" footer="0.31496062992125984"/>
  <pageSetup paperSize="5" scale="53"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900-000000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K10:K12</xm:sqref>
        </x14:dataValidation>
        <x14:dataValidation type="list" showInputMessage="1" showErrorMessage="1" xr:uid="{00000000-0002-0000-0900-000001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F10:F12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autoPageBreaks="0" fitToPage="1"/>
  </sheetPr>
  <dimension ref="A1:Z53"/>
  <sheetViews>
    <sheetView topLeftCell="I1" zoomScale="90" zoomScaleNormal="90" workbookViewId="0">
      <selection activeCell="R10" sqref="R10"/>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4.2851562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0.42578125" style="229" customWidth="1"/>
    <col min="21" max="21" width="16.7109375" style="229" customWidth="1"/>
    <col min="22" max="22" width="18.42578125" style="18" customWidth="1"/>
    <col min="23" max="24" width="36.7109375" style="229" hidden="1" customWidth="1"/>
    <col min="25" max="25" width="16.7109375" style="229" customWidth="1"/>
    <col min="26" max="26" width="16.42578125" style="229" customWidth="1"/>
    <col min="27" max="16384" width="11.42578125" style="229"/>
  </cols>
  <sheetData>
    <row r="1" spans="1:26" ht="26.25"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6" ht="26.25"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6" ht="26.25"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6" s="296" customFormat="1" ht="24" customHeight="1" x14ac:dyDescent="0.3">
      <c r="A4" s="295"/>
      <c r="B4" s="229"/>
      <c r="C4" s="229"/>
      <c r="D4" s="250"/>
      <c r="E4" s="250"/>
      <c r="F4" s="250"/>
      <c r="G4" s="250"/>
      <c r="H4" s="250"/>
      <c r="I4" s="251"/>
      <c r="J4" s="250"/>
      <c r="K4" s="250"/>
      <c r="L4" s="250"/>
      <c r="M4" s="250"/>
      <c r="N4" s="229"/>
      <c r="O4" s="229"/>
      <c r="P4" s="13"/>
      <c r="Q4" s="13"/>
      <c r="R4" s="229"/>
      <c r="S4" s="229"/>
      <c r="T4" s="229"/>
      <c r="U4" s="229"/>
      <c r="V4" s="321"/>
    </row>
    <row r="5" spans="1:26" s="296" customFormat="1" ht="24" customHeight="1" x14ac:dyDescent="0.25">
      <c r="A5" s="295"/>
      <c r="B5" s="553" t="s">
        <v>0</v>
      </c>
      <c r="C5" s="554"/>
      <c r="D5" s="316"/>
      <c r="E5" s="557" t="s">
        <v>26</v>
      </c>
      <c r="F5" s="557"/>
      <c r="G5" s="557"/>
      <c r="H5" s="557"/>
      <c r="I5" s="557"/>
      <c r="J5" s="557"/>
      <c r="K5" s="557"/>
      <c r="L5" s="557"/>
      <c r="M5" s="557"/>
      <c r="N5" s="557"/>
      <c r="O5" s="558"/>
      <c r="P5" s="553" t="s">
        <v>25</v>
      </c>
      <c r="Q5" s="554"/>
      <c r="R5" s="316">
        <v>2020</v>
      </c>
      <c r="S5" s="317"/>
      <c r="T5" s="318"/>
      <c r="U5" s="253"/>
      <c r="V5" s="320"/>
    </row>
    <row r="6" spans="1:26" s="296" customFormat="1" ht="39.75" customHeight="1" x14ac:dyDescent="0.25">
      <c r="A6" s="295"/>
      <c r="B6" s="553" t="s">
        <v>1</v>
      </c>
      <c r="C6" s="554"/>
      <c r="D6" s="319"/>
      <c r="E6" s="559" t="s">
        <v>525</v>
      </c>
      <c r="F6" s="559"/>
      <c r="G6" s="559"/>
      <c r="H6" s="559"/>
      <c r="I6" s="559"/>
      <c r="J6" s="559"/>
      <c r="K6" s="559"/>
      <c r="L6" s="559"/>
      <c r="M6" s="559"/>
      <c r="N6" s="559"/>
      <c r="O6" s="559"/>
      <c r="P6" s="559"/>
      <c r="Q6" s="559"/>
      <c r="R6" s="559"/>
      <c r="S6" s="559"/>
      <c r="T6" s="560"/>
      <c r="U6" s="253"/>
      <c r="V6" s="322"/>
    </row>
    <row r="7" spans="1:26" s="296" customFormat="1" ht="20.25" customHeight="1" x14ac:dyDescent="0.25">
      <c r="A7" s="295"/>
      <c r="B7" s="297"/>
      <c r="C7" s="297"/>
      <c r="I7" s="298"/>
      <c r="J7" s="299"/>
      <c r="K7" s="299"/>
      <c r="P7" s="298"/>
      <c r="Q7" s="298"/>
      <c r="V7" s="298"/>
    </row>
    <row r="8" spans="1:26" s="301" customFormat="1" ht="30" customHeight="1" x14ac:dyDescent="0.25">
      <c r="A8" s="300"/>
      <c r="B8" s="612" t="s">
        <v>2</v>
      </c>
      <c r="C8" s="612" t="s">
        <v>3</v>
      </c>
      <c r="D8" s="612" t="s">
        <v>4</v>
      </c>
      <c r="E8" s="612" t="s">
        <v>5</v>
      </c>
      <c r="F8" s="608" t="s">
        <v>28</v>
      </c>
      <c r="G8" s="614" t="s">
        <v>213</v>
      </c>
      <c r="H8" s="615"/>
      <c r="I8" s="610" t="s">
        <v>24</v>
      </c>
      <c r="J8" s="612" t="s">
        <v>11</v>
      </c>
      <c r="K8" s="614" t="s">
        <v>35</v>
      </c>
      <c r="L8" s="615"/>
      <c r="M8" s="608" t="s">
        <v>211</v>
      </c>
      <c r="N8" s="614" t="s">
        <v>214</v>
      </c>
      <c r="O8" s="615"/>
      <c r="P8" s="610" t="s">
        <v>24</v>
      </c>
      <c r="Q8" s="608" t="s">
        <v>10</v>
      </c>
      <c r="R8" s="612" t="s">
        <v>8</v>
      </c>
      <c r="S8" s="616" t="s">
        <v>17</v>
      </c>
      <c r="T8" s="612" t="s">
        <v>231</v>
      </c>
      <c r="U8" s="612" t="s">
        <v>215</v>
      </c>
      <c r="V8" s="612" t="s">
        <v>9</v>
      </c>
      <c r="W8" s="618" t="s">
        <v>224</v>
      </c>
      <c r="X8" s="618"/>
      <c r="Y8" s="546" t="s">
        <v>623</v>
      </c>
      <c r="Z8" s="546"/>
    </row>
    <row r="9" spans="1:26" s="301" customFormat="1" ht="98.25" customHeight="1" x14ac:dyDescent="0.25">
      <c r="A9" s="300"/>
      <c r="B9" s="613"/>
      <c r="C9" s="613"/>
      <c r="D9" s="613"/>
      <c r="E9" s="613"/>
      <c r="F9" s="609"/>
      <c r="G9" s="302" t="s">
        <v>6</v>
      </c>
      <c r="H9" s="302" t="s">
        <v>7</v>
      </c>
      <c r="I9" s="611"/>
      <c r="J9" s="613"/>
      <c r="K9" s="303" t="s">
        <v>229</v>
      </c>
      <c r="L9" s="304" t="s">
        <v>230</v>
      </c>
      <c r="M9" s="609"/>
      <c r="N9" s="305" t="s">
        <v>6</v>
      </c>
      <c r="O9" s="305" t="s">
        <v>7</v>
      </c>
      <c r="P9" s="611"/>
      <c r="Q9" s="609"/>
      <c r="R9" s="613"/>
      <c r="S9" s="617"/>
      <c r="T9" s="613"/>
      <c r="U9" s="613"/>
      <c r="V9" s="613"/>
      <c r="W9" s="306" t="s">
        <v>206</v>
      </c>
      <c r="X9" s="306" t="s">
        <v>207</v>
      </c>
      <c r="Y9" s="418" t="s">
        <v>658</v>
      </c>
      <c r="Z9" s="418" t="s">
        <v>659</v>
      </c>
    </row>
    <row r="10" spans="1:26" s="296" customFormat="1" ht="133.5" customHeight="1" x14ac:dyDescent="0.25">
      <c r="A10" s="307">
        <v>1</v>
      </c>
      <c r="B10" s="332" t="s">
        <v>513</v>
      </c>
      <c r="C10" s="339" t="s">
        <v>526</v>
      </c>
      <c r="D10" s="332"/>
      <c r="E10" s="332" t="s">
        <v>514</v>
      </c>
      <c r="F10" s="309" t="s">
        <v>15</v>
      </c>
      <c r="G10" s="308">
        <v>2</v>
      </c>
      <c r="H10" s="308">
        <v>4</v>
      </c>
      <c r="I10" s="408" t="str">
        <f>INDEX([11]Listas!$L$4:$P$8,G10,H10)</f>
        <v>ALTA</v>
      </c>
      <c r="J10" s="327" t="s">
        <v>515</v>
      </c>
      <c r="K10" s="309" t="s">
        <v>228</v>
      </c>
      <c r="L10" s="309" t="s">
        <v>6</v>
      </c>
      <c r="M10" s="500">
        <v>85</v>
      </c>
      <c r="N10" s="308">
        <v>1</v>
      </c>
      <c r="O10" s="308">
        <v>3</v>
      </c>
      <c r="P10" s="408" t="str">
        <f>INDEX([11]Listas!$L$4:$P$8,N10,O10)</f>
        <v>MODERADA</v>
      </c>
      <c r="Q10" s="309" t="s">
        <v>237</v>
      </c>
      <c r="R10" s="329" t="s">
        <v>516</v>
      </c>
      <c r="S10" s="309" t="s">
        <v>20</v>
      </c>
      <c r="T10" s="308" t="s">
        <v>310</v>
      </c>
      <c r="U10" s="308" t="s">
        <v>517</v>
      </c>
      <c r="V10" s="308" t="s">
        <v>608</v>
      </c>
      <c r="W10" s="310"/>
      <c r="X10" s="308"/>
      <c r="Y10" s="441">
        <f>1/1</f>
        <v>1</v>
      </c>
      <c r="Z10" s="536">
        <v>1</v>
      </c>
    </row>
    <row r="11" spans="1:26" s="296" customFormat="1" ht="135.75" customHeight="1" x14ac:dyDescent="0.25">
      <c r="A11" s="307">
        <v>2</v>
      </c>
      <c r="B11" s="329" t="s">
        <v>518</v>
      </c>
      <c r="C11" s="339" t="s">
        <v>519</v>
      </c>
      <c r="D11" s="329"/>
      <c r="E11" s="329" t="s">
        <v>520</v>
      </c>
      <c r="F11" s="309" t="s">
        <v>15</v>
      </c>
      <c r="G11" s="308">
        <v>4</v>
      </c>
      <c r="H11" s="308">
        <v>3</v>
      </c>
      <c r="I11" s="408" t="str">
        <f>INDEX([11]Listas!$L$4:$P$8,G11,H11)</f>
        <v>ALTA</v>
      </c>
      <c r="J11" s="327" t="s">
        <v>521</v>
      </c>
      <c r="K11" s="309" t="s">
        <v>228</v>
      </c>
      <c r="L11" s="309" t="s">
        <v>6</v>
      </c>
      <c r="M11" s="500">
        <v>85</v>
      </c>
      <c r="N11" s="308">
        <v>2</v>
      </c>
      <c r="O11" s="308">
        <v>3</v>
      </c>
      <c r="P11" s="408" t="str">
        <f>INDEX([11]Listas!$L$4:$P$8,N11,O11)</f>
        <v>MODERADA</v>
      </c>
      <c r="Q11" s="309" t="s">
        <v>524</v>
      </c>
      <c r="R11" s="329" t="s">
        <v>522</v>
      </c>
      <c r="S11" s="309" t="s">
        <v>18</v>
      </c>
      <c r="T11" s="308" t="s">
        <v>310</v>
      </c>
      <c r="U11" s="308" t="s">
        <v>523</v>
      </c>
      <c r="V11" s="308" t="s">
        <v>725</v>
      </c>
      <c r="W11" s="310"/>
      <c r="X11" s="308"/>
      <c r="Y11" s="441">
        <f>6/6</f>
        <v>1</v>
      </c>
      <c r="Z11" s="536">
        <f>6/6</f>
        <v>1</v>
      </c>
    </row>
    <row r="12" spans="1:26" x14ac:dyDescent="0.2">
      <c r="B12" s="6"/>
      <c r="C12" s="311"/>
      <c r="D12" s="312"/>
      <c r="E12" s="9"/>
      <c r="F12" s="9"/>
      <c r="G12" s="9"/>
      <c r="H12" s="9"/>
      <c r="I12" s="10"/>
      <c r="J12" s="19"/>
      <c r="K12" s="19"/>
      <c r="L12" s="9"/>
      <c r="M12" s="11"/>
      <c r="Y12" s="410">
        <f>AVERAGE(Y10:Y11)</f>
        <v>1</v>
      </c>
    </row>
    <row r="13" spans="1:26" x14ac:dyDescent="0.2">
      <c r="B13" s="12"/>
      <c r="C13" s="12"/>
      <c r="D13" s="12"/>
      <c r="E13" s="12"/>
      <c r="F13" s="12"/>
      <c r="G13" s="541" t="s">
        <v>97</v>
      </c>
      <c r="H13" s="541"/>
      <c r="I13" s="36">
        <f>COUNTIF(I10:I11,"BAJA")</f>
        <v>0</v>
      </c>
      <c r="J13" s="19"/>
      <c r="K13" s="19"/>
      <c r="L13" s="9"/>
      <c r="M13" s="11"/>
      <c r="N13" s="541" t="s">
        <v>97</v>
      </c>
      <c r="O13" s="541"/>
      <c r="P13" s="36">
        <f>COUNTIF(P10:P11,"BAJA")</f>
        <v>0</v>
      </c>
    </row>
    <row r="14" spans="1:26" x14ac:dyDescent="0.2">
      <c r="B14" s="571"/>
      <c r="C14" s="571"/>
      <c r="D14" s="571"/>
      <c r="E14" s="571"/>
      <c r="F14" s="571"/>
      <c r="G14" s="570" t="s">
        <v>99</v>
      </c>
      <c r="H14" s="541"/>
      <c r="I14" s="36">
        <f>COUNTIF(I10:I11,"MODERADA")</f>
        <v>0</v>
      </c>
      <c r="J14" s="19"/>
      <c r="K14" s="19"/>
      <c r="L14" s="9"/>
      <c r="M14" s="12"/>
      <c r="N14" s="541" t="s">
        <v>99</v>
      </c>
      <c r="O14" s="541"/>
      <c r="P14" s="36">
        <f>COUNTIF(P10:P11,"MODERADA")</f>
        <v>2</v>
      </c>
    </row>
    <row r="15" spans="1:26" x14ac:dyDescent="0.2">
      <c r="B15" s="9"/>
      <c r="C15" s="9"/>
      <c r="D15" s="9"/>
      <c r="E15" s="9"/>
      <c r="F15" s="9"/>
      <c r="G15" s="570" t="s">
        <v>98</v>
      </c>
      <c r="H15" s="541"/>
      <c r="I15" s="36">
        <f>COUNTIF(I10:I11,"ALTA")</f>
        <v>2</v>
      </c>
      <c r="J15" s="19"/>
      <c r="K15" s="19"/>
      <c r="L15" s="9"/>
      <c r="M15" s="9"/>
      <c r="N15" s="541" t="s">
        <v>98</v>
      </c>
      <c r="O15" s="541"/>
      <c r="P15" s="36">
        <f>COUNTIF(P10:P11,"ALTA")</f>
        <v>0</v>
      </c>
      <c r="Q15" s="229"/>
      <c r="V15" s="229"/>
    </row>
    <row r="16" spans="1:26" x14ac:dyDescent="0.2">
      <c r="B16" s="346"/>
      <c r="C16" s="9"/>
      <c r="D16" s="9"/>
      <c r="E16" s="347"/>
      <c r="F16" s="9"/>
      <c r="G16" s="570" t="s">
        <v>100</v>
      </c>
      <c r="H16" s="541"/>
      <c r="I16" s="36">
        <f>COUNTIF(I10:I11,"EXTREMA")</f>
        <v>0</v>
      </c>
      <c r="J16" s="19"/>
      <c r="K16" s="19"/>
      <c r="L16" s="9"/>
      <c r="M16" s="9"/>
      <c r="N16" s="541" t="s">
        <v>100</v>
      </c>
      <c r="O16" s="541"/>
      <c r="P16" s="36">
        <f>COUNTIF(P10:P11,"EXTREMA")</f>
        <v>0</v>
      </c>
      <c r="Q16" s="229"/>
      <c r="V16" s="229"/>
    </row>
    <row r="17" spans="2:22" x14ac:dyDescent="0.2">
      <c r="D17" s="9"/>
      <c r="E17" s="9"/>
      <c r="G17" s="9"/>
      <c r="H17" s="9"/>
      <c r="I17" s="10"/>
      <c r="J17" s="19"/>
      <c r="K17" s="19"/>
      <c r="L17" s="9"/>
      <c r="M17" s="9" t="s">
        <v>21</v>
      </c>
      <c r="P17" s="229"/>
      <c r="Q17" s="229"/>
      <c r="V17" s="229"/>
    </row>
    <row r="18" spans="2:22" ht="15" x14ac:dyDescent="0.2">
      <c r="B18" s="367"/>
      <c r="C18" s="368"/>
      <c r="D18" s="362"/>
      <c r="E18" s="233"/>
      <c r="F18" s="233"/>
      <c r="G18" s="233"/>
      <c r="H18" s="9"/>
      <c r="I18" s="10"/>
      <c r="J18" s="19"/>
      <c r="K18" s="19"/>
      <c r="L18" s="9"/>
      <c r="M18" s="9"/>
      <c r="P18" s="229"/>
      <c r="Q18" s="229"/>
      <c r="V18" s="229"/>
    </row>
    <row r="19" spans="2:22" ht="15" x14ac:dyDescent="0.2">
      <c r="B19" s="363" t="s">
        <v>591</v>
      </c>
      <c r="C19" s="366"/>
      <c r="D19" s="364"/>
      <c r="E19" s="365" t="s">
        <v>654</v>
      </c>
      <c r="F19" s="365"/>
      <c r="G19" s="365"/>
      <c r="H19" s="9"/>
      <c r="I19" s="10"/>
      <c r="J19" s="19"/>
      <c r="K19" s="19"/>
      <c r="L19" s="9"/>
      <c r="M19" s="9"/>
      <c r="P19" s="229"/>
      <c r="Q19" s="229"/>
      <c r="V19" s="229"/>
    </row>
    <row r="20" spans="2:22" ht="15" x14ac:dyDescent="0.2">
      <c r="B20" s="232" t="s">
        <v>244</v>
      </c>
      <c r="C20" s="171"/>
      <c r="D20" s="172"/>
      <c r="E20" s="232" t="s">
        <v>245</v>
      </c>
      <c r="F20" s="171"/>
      <c r="G20" s="14"/>
      <c r="H20" s="9"/>
      <c r="I20" s="10"/>
      <c r="P20" s="229"/>
      <c r="Q20" s="229"/>
      <c r="V20" s="229"/>
    </row>
    <row r="21" spans="2:22" x14ac:dyDescent="0.2">
      <c r="D21" s="9"/>
      <c r="H21" s="9"/>
      <c r="I21" s="10"/>
      <c r="P21" s="229"/>
      <c r="Q21" s="229"/>
      <c r="V21" s="229"/>
    </row>
    <row r="22" spans="2:22" x14ac:dyDescent="0.2">
      <c r="D22" s="9"/>
      <c r="H22" s="9"/>
      <c r="I22" s="10"/>
      <c r="P22" s="229"/>
      <c r="Q22" s="229"/>
      <c r="V22" s="229"/>
    </row>
    <row r="23" spans="2:22" x14ac:dyDescent="0.2">
      <c r="D23" s="9"/>
      <c r="H23" s="9"/>
      <c r="I23" s="10"/>
      <c r="P23" s="229"/>
      <c r="Q23" s="229"/>
      <c r="V23" s="229"/>
    </row>
    <row r="24" spans="2:22" x14ac:dyDescent="0.2">
      <c r="D24" s="9"/>
      <c r="H24" s="9"/>
      <c r="I24" s="10"/>
      <c r="P24" s="229"/>
      <c r="Q24" s="229"/>
      <c r="V24" s="229"/>
    </row>
    <row r="25" spans="2:22" x14ac:dyDescent="0.2">
      <c r="D25" s="9"/>
      <c r="H25" s="9"/>
      <c r="I25" s="10"/>
      <c r="P25" s="229"/>
      <c r="Q25" s="229"/>
      <c r="V25" s="229"/>
    </row>
    <row r="26" spans="2:22" x14ac:dyDescent="0.2">
      <c r="D26" s="9"/>
      <c r="H26" s="9"/>
      <c r="I26" s="10"/>
      <c r="P26" s="229"/>
      <c r="Q26" s="229"/>
      <c r="V26" s="229"/>
    </row>
    <row r="27" spans="2:22" x14ac:dyDescent="0.2">
      <c r="D27" s="9"/>
      <c r="P27" s="229"/>
      <c r="Q27" s="229"/>
      <c r="V27" s="229"/>
    </row>
    <row r="28" spans="2:22" x14ac:dyDescent="0.2">
      <c r="D28" s="9"/>
      <c r="P28" s="229"/>
      <c r="Q28" s="229"/>
      <c r="V28" s="229"/>
    </row>
    <row r="29" spans="2:22" x14ac:dyDescent="0.2">
      <c r="D29" s="9"/>
      <c r="P29" s="229"/>
      <c r="Q29" s="229"/>
      <c r="V29" s="229"/>
    </row>
    <row r="30" spans="2:22" x14ac:dyDescent="0.2">
      <c r="D30" s="9"/>
      <c r="I30" s="229"/>
      <c r="J30" s="229"/>
      <c r="K30" s="229"/>
      <c r="P30" s="229"/>
      <c r="Q30" s="229"/>
      <c r="V30" s="229"/>
    </row>
    <row r="31" spans="2:22" x14ac:dyDescent="0.2">
      <c r="D31" s="9"/>
      <c r="I31" s="229"/>
      <c r="J31" s="229"/>
      <c r="K31" s="229"/>
      <c r="P31" s="229"/>
      <c r="Q31" s="229"/>
      <c r="V31" s="229"/>
    </row>
    <row r="32" spans="2:22" x14ac:dyDescent="0.2">
      <c r="D32" s="9"/>
      <c r="I32" s="229"/>
      <c r="J32" s="229"/>
      <c r="K32" s="22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sheetData>
  <customSheetViews>
    <customSheetView guid="{B83C9EB8-C964-4489-98C8-19C81BFAE010}"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
    </customSheetView>
    <customSheetView guid="{42BB51DB-DC3E-4DA5-9499-5574EB19780E}"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2"/>
    </customSheetView>
    <customSheetView guid="{D8BB7E15-0E8F-45FC-AD1A-6D8C295A087C}"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3"/>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scale="85" fitToPage="1" printArea="1" hiddenColumns="1">
      <selection activeCell="U18" sqref="A1:V18"/>
      <pageMargins left="0.59055118110236227" right="0.51181102362204722" top="0.94488188976377963" bottom="0.55118110236220474" header="0.31496062992125984" footer="0.31496062992125984"/>
      <printOptions horizontalCentered="1"/>
      <pageSetup paperSize="5" fitToHeight="99" orientation="landscape" r:id="rId11"/>
    </customSheetView>
    <customSheetView guid="{D674221F-3F50-45D7-B99E-107AE99970DE}"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2"/>
    </customSheetView>
    <customSheetView guid="{E51A7B7A-B72C-4D0D-BEC9-3100296DDB1B}"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3"/>
    </customSheetView>
    <customSheetView guid="{C9A17BF0-2451-44C4-898F-CFB8403323EA}"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4"/>
    </customSheetView>
    <customSheetView guid="{DC041AD4-35AB-4F1B-9F3D-F08C88A9A16C}"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5"/>
    </customSheetView>
    <customSheetView guid="{CC42E740-ADA2-4B3E-AB77-9BBCCE9EC444}"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6"/>
    </customSheetView>
    <customSheetView guid="{AF3BF2A1-5C19-43AE-A08B-3E418E8AE543}"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7"/>
    </customSheetView>
    <customSheetView guid="{ADD38025-F4B2-44E2-9D06-07A9BF0F3A51}"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8"/>
    </customSheetView>
    <customSheetView guid="{97D65C1E-976A-4956-97FC-0E8188ABCFAA}"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9"/>
    </customSheetView>
  </customSheetViews>
  <mergeCells count="36">
    <mergeCell ref="Y8:Z8"/>
    <mergeCell ref="B6:C6"/>
    <mergeCell ref="E6:T6"/>
    <mergeCell ref="B1:C3"/>
    <mergeCell ref="D1:U3"/>
    <mergeCell ref="B5:C5"/>
    <mergeCell ref="E5:O5"/>
    <mergeCell ref="P5:Q5"/>
    <mergeCell ref="T8:T9"/>
    <mergeCell ref="V8:V9"/>
    <mergeCell ref="S8:S9"/>
    <mergeCell ref="W8:X8"/>
    <mergeCell ref="M8:M9"/>
    <mergeCell ref="U8:U9"/>
    <mergeCell ref="G16:H16"/>
    <mergeCell ref="N13:O13"/>
    <mergeCell ref="N14:O14"/>
    <mergeCell ref="N15:O15"/>
    <mergeCell ref="N16:O16"/>
    <mergeCell ref="G15:H15"/>
    <mergeCell ref="B14:F14"/>
    <mergeCell ref="F8:F9"/>
    <mergeCell ref="I8:I9"/>
    <mergeCell ref="J8:J9"/>
    <mergeCell ref="R8:R9"/>
    <mergeCell ref="G13:H13"/>
    <mergeCell ref="G14:H14"/>
    <mergeCell ref="B8:B9"/>
    <mergeCell ref="C8:C9"/>
    <mergeCell ref="D8:D9"/>
    <mergeCell ref="E8:E9"/>
    <mergeCell ref="G8:H8"/>
    <mergeCell ref="N8:O8"/>
    <mergeCell ref="P8:P9"/>
    <mergeCell ref="Q8:Q9"/>
    <mergeCell ref="K8:L8"/>
  </mergeCells>
  <conditionalFormatting sqref="I7 P7 P12:P1048576 I12:I1048576">
    <cfRule type="cellIs" dxfId="338" priority="114" operator="equal">
      <formula>"BAJA"</formula>
    </cfRule>
  </conditionalFormatting>
  <conditionalFormatting sqref="I7 P7 P12:P1048576 I12:I1048576">
    <cfRule type="cellIs" dxfId="337" priority="111" operator="equal">
      <formula>"EXTREMA"</formula>
    </cfRule>
    <cfRule type="cellIs" dxfId="336" priority="112" operator="equal">
      <formula>"ALTA"</formula>
    </cfRule>
    <cfRule type="cellIs" dxfId="335" priority="113" operator="equal">
      <formula>"MODERADA"</formula>
    </cfRule>
  </conditionalFormatting>
  <conditionalFormatting sqref="F7:G7 N7:O7 N12:O1048576 F12:G17 F21:G1048576">
    <cfRule type="colorScale" priority="110">
      <colorScale>
        <cfvo type="num" val="1"/>
        <cfvo type="num" val="3"/>
        <cfvo type="num" val="5"/>
        <color theme="6" tint="-0.499984740745262"/>
        <color rgb="FFFFFF00"/>
        <color rgb="FFC00000"/>
      </colorScale>
    </cfRule>
  </conditionalFormatting>
  <conditionalFormatting sqref="I13:I16">
    <cfRule type="cellIs" dxfId="334" priority="109" operator="equal">
      <formula>"BAJA"</formula>
    </cfRule>
  </conditionalFormatting>
  <conditionalFormatting sqref="I13:I16">
    <cfRule type="cellIs" dxfId="333" priority="106" operator="equal">
      <formula>"EXTREMA"</formula>
    </cfRule>
    <cfRule type="cellIs" dxfId="332" priority="107" operator="equal">
      <formula>"ALTA"</formula>
    </cfRule>
    <cfRule type="cellIs" dxfId="331" priority="108" operator="equal">
      <formula>"MODERADA"</formula>
    </cfRule>
  </conditionalFormatting>
  <conditionalFormatting sqref="G13:G16">
    <cfRule type="colorScale" priority="105">
      <colorScale>
        <cfvo type="num" val="1"/>
        <cfvo type="num" val="3"/>
        <cfvo type="num" val="5"/>
        <color theme="6" tint="-0.499984740745262"/>
        <color rgb="FFFFFF00"/>
        <color rgb="FFC00000"/>
      </colorScale>
    </cfRule>
  </conditionalFormatting>
  <conditionalFormatting sqref="I13:I16">
    <cfRule type="cellIs" dxfId="330" priority="104" operator="equal">
      <formula>"BAJA"</formula>
    </cfRule>
  </conditionalFormatting>
  <conditionalFormatting sqref="I13:I16">
    <cfRule type="cellIs" dxfId="329" priority="101" operator="equal">
      <formula>"EXTREMA"</formula>
    </cfRule>
    <cfRule type="cellIs" dxfId="328" priority="102" operator="equal">
      <formula>"ALTA"</formula>
    </cfRule>
    <cfRule type="cellIs" dxfId="327" priority="103" operator="equal">
      <formula>"MODERADA"</formula>
    </cfRule>
  </conditionalFormatting>
  <conditionalFormatting sqref="G13:G16">
    <cfRule type="colorScale" priority="100">
      <colorScale>
        <cfvo type="num" val="1"/>
        <cfvo type="num" val="3"/>
        <cfvo type="num" val="5"/>
        <color theme="6" tint="-0.499984740745262"/>
        <color rgb="FFFFFF00"/>
        <color rgb="FFC00000"/>
      </colorScale>
    </cfRule>
  </conditionalFormatting>
  <conditionalFormatting sqref="I13:I16">
    <cfRule type="cellIs" dxfId="326" priority="99" operator="equal">
      <formula>"BAJA"</formula>
    </cfRule>
  </conditionalFormatting>
  <conditionalFormatting sqref="I13:I16">
    <cfRule type="cellIs" dxfId="325" priority="96" operator="equal">
      <formula>"EXTREMA"</formula>
    </cfRule>
    <cfRule type="cellIs" dxfId="324" priority="97" operator="equal">
      <formula>"ALTA"</formula>
    </cfRule>
    <cfRule type="cellIs" dxfId="323" priority="98" operator="equal">
      <formula>"MODERADA"</formula>
    </cfRule>
  </conditionalFormatting>
  <conditionalFormatting sqref="G13:G16">
    <cfRule type="colorScale" priority="95">
      <colorScale>
        <cfvo type="num" val="1"/>
        <cfvo type="num" val="3"/>
        <cfvo type="num" val="5"/>
        <color theme="6" tint="-0.499984740745262"/>
        <color rgb="FFFFFF00"/>
        <color rgb="FFC00000"/>
      </colorScale>
    </cfRule>
  </conditionalFormatting>
  <conditionalFormatting sqref="I13:I16">
    <cfRule type="cellIs" dxfId="322" priority="94" operator="equal">
      <formula>"BAJA"</formula>
    </cfRule>
  </conditionalFormatting>
  <conditionalFormatting sqref="I13:I16">
    <cfRule type="cellIs" dxfId="321" priority="91" operator="equal">
      <formula>"EXTREMA"</formula>
    </cfRule>
    <cfRule type="cellIs" dxfId="320" priority="92" operator="equal">
      <formula>"ALTA"</formula>
    </cfRule>
    <cfRule type="cellIs" dxfId="319" priority="93" operator="equal">
      <formula>"MODERADA"</formula>
    </cfRule>
  </conditionalFormatting>
  <conditionalFormatting sqref="G13:G16">
    <cfRule type="colorScale" priority="90">
      <colorScale>
        <cfvo type="num" val="1"/>
        <cfvo type="num" val="3"/>
        <cfvo type="num" val="5"/>
        <color theme="6" tint="-0.499984740745262"/>
        <color rgb="FFFFFF00"/>
        <color rgb="FFC00000"/>
      </colorScale>
    </cfRule>
  </conditionalFormatting>
  <conditionalFormatting sqref="I13:I16">
    <cfRule type="cellIs" dxfId="318" priority="89" operator="equal">
      <formula>"BAJA"</formula>
    </cfRule>
  </conditionalFormatting>
  <conditionalFormatting sqref="I13:I16">
    <cfRule type="cellIs" dxfId="317" priority="86" operator="equal">
      <formula>"EXTREMA"</formula>
    </cfRule>
    <cfRule type="cellIs" dxfId="316" priority="87" operator="equal">
      <formula>"ALTA"</formula>
    </cfRule>
    <cfRule type="cellIs" dxfId="315" priority="88" operator="equal">
      <formula>"MODERADA"</formula>
    </cfRule>
  </conditionalFormatting>
  <conditionalFormatting sqref="G13:G16">
    <cfRule type="colorScale" priority="85">
      <colorScale>
        <cfvo type="num" val="1"/>
        <cfvo type="num" val="3"/>
        <cfvo type="num" val="5"/>
        <color theme="6" tint="-0.499984740745262"/>
        <color rgb="FFFFFF00"/>
        <color rgb="FFC00000"/>
      </colorScale>
    </cfRule>
  </conditionalFormatting>
  <conditionalFormatting sqref="I13:I16">
    <cfRule type="cellIs" dxfId="314" priority="84" operator="equal">
      <formula>"BAJA"</formula>
    </cfRule>
  </conditionalFormatting>
  <conditionalFormatting sqref="I13:I16">
    <cfRule type="cellIs" dxfId="313" priority="81" operator="equal">
      <formula>"EXTREMA"</formula>
    </cfRule>
    <cfRule type="cellIs" dxfId="312" priority="82" operator="equal">
      <formula>"ALTA"</formula>
    </cfRule>
    <cfRule type="cellIs" dxfId="311" priority="83" operator="equal">
      <formula>"MODERADA"</formula>
    </cfRule>
  </conditionalFormatting>
  <conditionalFormatting sqref="G13:G16">
    <cfRule type="colorScale" priority="80">
      <colorScale>
        <cfvo type="num" val="1"/>
        <cfvo type="num" val="3"/>
        <cfvo type="num" val="5"/>
        <color theme="6" tint="-0.499984740745262"/>
        <color rgb="FFFFFF00"/>
        <color rgb="FFC00000"/>
      </colorScale>
    </cfRule>
  </conditionalFormatting>
  <conditionalFormatting sqref="I13:I16">
    <cfRule type="cellIs" dxfId="310" priority="79" operator="equal">
      <formula>"BAJA"</formula>
    </cfRule>
  </conditionalFormatting>
  <conditionalFormatting sqref="I13:I16">
    <cfRule type="cellIs" dxfId="309" priority="76" operator="equal">
      <formula>"EXTREMA"</formula>
    </cfRule>
    <cfRule type="cellIs" dxfId="308" priority="77" operator="equal">
      <formula>"ALTA"</formula>
    </cfRule>
    <cfRule type="cellIs" dxfId="307" priority="78" operator="equal">
      <formula>"MODERADA"</formula>
    </cfRule>
  </conditionalFormatting>
  <conditionalFormatting sqref="P13:P16">
    <cfRule type="cellIs" dxfId="306" priority="75" operator="equal">
      <formula>"BAJA"</formula>
    </cfRule>
  </conditionalFormatting>
  <conditionalFormatting sqref="P13:P16">
    <cfRule type="cellIs" dxfId="305" priority="72" operator="equal">
      <formula>"EXTREMA"</formula>
    </cfRule>
    <cfRule type="cellIs" dxfId="304" priority="73" operator="equal">
      <formula>"ALTA"</formula>
    </cfRule>
    <cfRule type="cellIs" dxfId="303" priority="74" operator="equal">
      <formula>"MODERADA"</formula>
    </cfRule>
  </conditionalFormatting>
  <conditionalFormatting sqref="N13:N16">
    <cfRule type="colorScale" priority="71">
      <colorScale>
        <cfvo type="num" val="1"/>
        <cfvo type="num" val="3"/>
        <cfvo type="num" val="5"/>
        <color theme="6" tint="-0.499984740745262"/>
        <color rgb="FFFFFF00"/>
        <color rgb="FFC00000"/>
      </colorScale>
    </cfRule>
  </conditionalFormatting>
  <conditionalFormatting sqref="P13:P16">
    <cfRule type="cellIs" dxfId="302" priority="70" operator="equal">
      <formula>"BAJA"</formula>
    </cfRule>
  </conditionalFormatting>
  <conditionalFormatting sqref="P13:P16">
    <cfRule type="cellIs" dxfId="301" priority="67" operator="equal">
      <formula>"EXTREMA"</formula>
    </cfRule>
    <cfRule type="cellIs" dxfId="300" priority="68" operator="equal">
      <formula>"ALTA"</formula>
    </cfRule>
    <cfRule type="cellIs" dxfId="299" priority="69" operator="equal">
      <formula>"MODERADA"</formula>
    </cfRule>
  </conditionalFormatting>
  <conditionalFormatting sqref="N13:N16">
    <cfRule type="colorScale" priority="66">
      <colorScale>
        <cfvo type="num" val="1"/>
        <cfvo type="num" val="3"/>
        <cfvo type="num" val="5"/>
        <color theme="6" tint="-0.499984740745262"/>
        <color rgb="FFFFFF00"/>
        <color rgb="FFC00000"/>
      </colorScale>
    </cfRule>
  </conditionalFormatting>
  <conditionalFormatting sqref="P13:P16">
    <cfRule type="cellIs" dxfId="298" priority="65" operator="equal">
      <formula>"BAJA"</formula>
    </cfRule>
  </conditionalFormatting>
  <conditionalFormatting sqref="P13:P16">
    <cfRule type="cellIs" dxfId="297" priority="62" operator="equal">
      <formula>"EXTREMA"</formula>
    </cfRule>
    <cfRule type="cellIs" dxfId="296" priority="63" operator="equal">
      <formula>"ALTA"</formula>
    </cfRule>
    <cfRule type="cellIs" dxfId="295" priority="64" operator="equal">
      <formula>"MODERADA"</formula>
    </cfRule>
  </conditionalFormatting>
  <conditionalFormatting sqref="N13:N16">
    <cfRule type="colorScale" priority="61">
      <colorScale>
        <cfvo type="num" val="1"/>
        <cfvo type="num" val="3"/>
        <cfvo type="num" val="5"/>
        <color theme="6" tint="-0.499984740745262"/>
        <color rgb="FFFFFF00"/>
        <color rgb="FFC00000"/>
      </colorScale>
    </cfRule>
  </conditionalFormatting>
  <conditionalFormatting sqref="P13:P16">
    <cfRule type="cellIs" dxfId="294" priority="60" operator="equal">
      <formula>"BAJA"</formula>
    </cfRule>
  </conditionalFormatting>
  <conditionalFormatting sqref="P13:P16">
    <cfRule type="cellIs" dxfId="293" priority="57" operator="equal">
      <formula>"EXTREMA"</formula>
    </cfRule>
    <cfRule type="cellIs" dxfId="292" priority="58" operator="equal">
      <formula>"ALTA"</formula>
    </cfRule>
    <cfRule type="cellIs" dxfId="291" priority="59" operator="equal">
      <formula>"MODERADA"</formula>
    </cfRule>
  </conditionalFormatting>
  <conditionalFormatting sqref="N13:N16">
    <cfRule type="colorScale" priority="56">
      <colorScale>
        <cfvo type="num" val="1"/>
        <cfvo type="num" val="3"/>
        <cfvo type="num" val="5"/>
        <color theme="6" tint="-0.499984740745262"/>
        <color rgb="FFFFFF00"/>
        <color rgb="FFC00000"/>
      </colorScale>
    </cfRule>
  </conditionalFormatting>
  <conditionalFormatting sqref="P13:P16">
    <cfRule type="cellIs" dxfId="290" priority="55" operator="equal">
      <formula>"BAJA"</formula>
    </cfRule>
  </conditionalFormatting>
  <conditionalFormatting sqref="P13:P16">
    <cfRule type="cellIs" dxfId="289" priority="52" operator="equal">
      <formula>"EXTREMA"</formula>
    </cfRule>
    <cfRule type="cellIs" dxfId="288" priority="53" operator="equal">
      <formula>"ALTA"</formula>
    </cfRule>
    <cfRule type="cellIs" dxfId="287" priority="54" operator="equal">
      <formula>"MODERADA"</formula>
    </cfRule>
  </conditionalFormatting>
  <conditionalFormatting sqref="N13:N16">
    <cfRule type="colorScale" priority="51">
      <colorScale>
        <cfvo type="num" val="1"/>
        <cfvo type="num" val="3"/>
        <cfvo type="num" val="5"/>
        <color theme="6" tint="-0.499984740745262"/>
        <color rgb="FFFFFF00"/>
        <color rgb="FFC00000"/>
      </colorScale>
    </cfRule>
  </conditionalFormatting>
  <conditionalFormatting sqref="P13:P16">
    <cfRule type="cellIs" dxfId="286" priority="50" operator="equal">
      <formula>"BAJA"</formula>
    </cfRule>
  </conditionalFormatting>
  <conditionalFormatting sqref="P13:P16">
    <cfRule type="cellIs" dxfId="285" priority="47" operator="equal">
      <formula>"EXTREMA"</formula>
    </cfRule>
    <cfRule type="cellIs" dxfId="284" priority="48" operator="equal">
      <formula>"ALTA"</formula>
    </cfRule>
    <cfRule type="cellIs" dxfId="283" priority="49" operator="equal">
      <formula>"MODERADA"</formula>
    </cfRule>
  </conditionalFormatting>
  <conditionalFormatting sqref="N13:N16">
    <cfRule type="colorScale" priority="46">
      <colorScale>
        <cfvo type="num" val="1"/>
        <cfvo type="num" val="3"/>
        <cfvo type="num" val="5"/>
        <color theme="6" tint="-0.499984740745262"/>
        <color rgb="FFFFFF00"/>
        <color rgb="FFC00000"/>
      </colorScale>
    </cfRule>
  </conditionalFormatting>
  <conditionalFormatting sqref="P13:P16">
    <cfRule type="cellIs" dxfId="282" priority="45" operator="equal">
      <formula>"BAJA"</formula>
    </cfRule>
  </conditionalFormatting>
  <conditionalFormatting sqref="P13:P16">
    <cfRule type="cellIs" dxfId="281" priority="42" operator="equal">
      <formula>"EXTREMA"</formula>
    </cfRule>
    <cfRule type="cellIs" dxfId="280" priority="43" operator="equal">
      <formula>"ALTA"</formula>
    </cfRule>
    <cfRule type="cellIs" dxfId="279" priority="44" operator="equal">
      <formula>"MODERADA"</formula>
    </cfRule>
  </conditionalFormatting>
  <conditionalFormatting sqref="I8:I9 P8:P9">
    <cfRule type="cellIs" dxfId="278" priority="32" operator="equal">
      <formula>"BAJA"</formula>
    </cfRule>
  </conditionalFormatting>
  <conditionalFormatting sqref="I8:I9 P8:P9">
    <cfRule type="cellIs" dxfId="277" priority="29" operator="equal">
      <formula>"EXTREMA"</formula>
    </cfRule>
    <cfRule type="cellIs" dxfId="276" priority="30" operator="equal">
      <formula>"ALTA"</formula>
    </cfRule>
    <cfRule type="cellIs" dxfId="275" priority="31" operator="equal">
      <formula>"MODERADA"</formula>
    </cfRule>
  </conditionalFormatting>
  <conditionalFormatting sqref="G8:H9 N8:O9">
    <cfRule type="colorScale" priority="28">
      <colorScale>
        <cfvo type="num" val="1"/>
        <cfvo type="num" val="3"/>
        <cfvo type="num" val="5"/>
        <color theme="6" tint="-0.499984740745262"/>
        <color rgb="FFFFFF00"/>
        <color rgb="FFC00000"/>
      </colorScale>
    </cfRule>
  </conditionalFormatting>
  <conditionalFormatting sqref="F4:G4 N4:O4">
    <cfRule type="colorScale" priority="27">
      <colorScale>
        <cfvo type="num" val="1"/>
        <cfvo type="num" val="3"/>
        <cfvo type="num" val="5"/>
        <color theme="6" tint="-0.499984740745262"/>
        <color rgb="FFFFFF00"/>
        <color rgb="FFC00000"/>
      </colorScale>
    </cfRule>
  </conditionalFormatting>
  <conditionalFormatting sqref="G10:H11">
    <cfRule type="colorScale" priority="11">
      <colorScale>
        <cfvo type="num" val="1"/>
        <cfvo type="num" val="3"/>
        <cfvo type="num" val="5"/>
        <color theme="6" tint="-0.499984740745262"/>
        <color rgb="FFFFFF00"/>
        <color rgb="FFC00000"/>
      </colorScale>
    </cfRule>
  </conditionalFormatting>
  <conditionalFormatting sqref="I10:I11">
    <cfRule type="cellIs" dxfId="274" priority="7" operator="equal">
      <formula>"EXTREMA"</formula>
    </cfRule>
    <cfRule type="cellIs" dxfId="273" priority="8" operator="equal">
      <formula>"ALTA"</formula>
    </cfRule>
    <cfRule type="cellIs" dxfId="272" priority="9" operator="equal">
      <formula>"MODERADA"</formula>
    </cfRule>
    <cfRule type="cellIs" dxfId="271" priority="10" operator="equal">
      <formula>"BAJA"</formula>
    </cfRule>
  </conditionalFormatting>
  <conditionalFormatting sqref="P10:P11">
    <cfRule type="cellIs" dxfId="270" priority="3" operator="equal">
      <formula>"EXTREMA"</formula>
    </cfRule>
    <cfRule type="cellIs" dxfId="269" priority="4" operator="equal">
      <formula>"ALTA"</formula>
    </cfRule>
    <cfRule type="cellIs" dxfId="268" priority="5" operator="equal">
      <formula>"MODERADA"</formula>
    </cfRule>
    <cfRule type="cellIs" dxfId="267" priority="6" operator="equal">
      <formula>"BAJA"</formula>
    </cfRule>
  </conditionalFormatting>
  <conditionalFormatting sqref="N10:O11">
    <cfRule type="colorScale" priority="2">
      <colorScale>
        <cfvo type="num" val="1"/>
        <cfvo type="num" val="3"/>
        <cfvo type="num" val="5"/>
        <color theme="6" tint="-0.499984740745262"/>
        <color rgb="FFFFFF00"/>
        <color rgb="FFC00000"/>
      </colorScale>
    </cfRule>
  </conditionalFormatting>
  <conditionalFormatting sqref="F18:G20">
    <cfRule type="colorScale" priority="1">
      <colorScale>
        <cfvo type="num" val="1"/>
        <cfvo type="num" val="3"/>
        <cfvo type="num" val="5"/>
        <color theme="6" tint="-0.499984740745262"/>
        <color rgb="FFFFFF00"/>
        <color rgb="FFC00000"/>
      </colorScale>
    </cfRule>
  </conditionalFormatting>
  <printOptions horizontalCentered="1"/>
  <pageMargins left="1.31" right="0.22" top="0.98" bottom="0.55118110236220474" header="0.31496062992125984" footer="0.31496062992125984"/>
  <pageSetup paperSize="5" scale="57"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A00-000000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K10:K11</xm:sqref>
        </x14:dataValidation>
        <x14:dataValidation type="list" showInputMessage="1" showErrorMessage="1" xr:uid="{00000000-0002-0000-0A00-000001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F10:F11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autoPageBreaks="0"/>
  </sheetPr>
  <dimension ref="A1:Z56"/>
  <sheetViews>
    <sheetView topLeftCell="R1" zoomScale="110" zoomScaleNormal="110" workbookViewId="0">
      <selection activeCell="Z14" sqref="Z14"/>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3"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19.42578125" style="229" customWidth="1"/>
    <col min="21" max="21" width="16.7109375" style="229" customWidth="1"/>
    <col min="22" max="22" width="23.42578125" style="18" customWidth="1"/>
    <col min="23" max="24" width="36.7109375" style="229" hidden="1" customWidth="1"/>
    <col min="25" max="25" width="23.85546875" style="229" customWidth="1"/>
    <col min="26" max="26" width="25.85546875" style="229" customWidth="1"/>
    <col min="27" max="16384" width="11.42578125" style="229"/>
  </cols>
  <sheetData>
    <row r="1" spans="1:26" ht="27.75"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6" ht="27.75"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6" ht="27.75"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6"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321"/>
    </row>
    <row r="5" spans="1:26" s="253" customFormat="1" ht="24" customHeight="1" x14ac:dyDescent="0.25">
      <c r="A5" s="252"/>
      <c r="B5" s="553" t="s">
        <v>0</v>
      </c>
      <c r="C5" s="554"/>
      <c r="D5" s="316"/>
      <c r="E5" s="557" t="s">
        <v>58</v>
      </c>
      <c r="F5" s="557"/>
      <c r="G5" s="557"/>
      <c r="H5" s="557"/>
      <c r="I5" s="557"/>
      <c r="J5" s="557"/>
      <c r="K5" s="557"/>
      <c r="L5" s="557"/>
      <c r="M5" s="557"/>
      <c r="N5" s="557"/>
      <c r="O5" s="558"/>
      <c r="P5" s="553" t="s">
        <v>25</v>
      </c>
      <c r="Q5" s="554"/>
      <c r="R5" s="316">
        <v>2020</v>
      </c>
      <c r="S5" s="317"/>
      <c r="T5" s="318"/>
      <c r="V5" s="320"/>
    </row>
    <row r="6" spans="1:26" s="253" customFormat="1" ht="24" customHeight="1" x14ac:dyDescent="0.25">
      <c r="A6" s="252"/>
      <c r="B6" s="553" t="s">
        <v>1</v>
      </c>
      <c r="C6" s="554"/>
      <c r="D6" s="319"/>
      <c r="E6" s="583" t="s">
        <v>528</v>
      </c>
      <c r="F6" s="583"/>
      <c r="G6" s="583"/>
      <c r="H6" s="583"/>
      <c r="I6" s="583"/>
      <c r="J6" s="583"/>
      <c r="K6" s="583"/>
      <c r="L6" s="583"/>
      <c r="M6" s="583"/>
      <c r="N6" s="583"/>
      <c r="O6" s="583"/>
      <c r="P6" s="583"/>
      <c r="Q6" s="583"/>
      <c r="R6" s="583"/>
      <c r="S6" s="583"/>
      <c r="T6" s="584"/>
      <c r="V6" s="322"/>
    </row>
    <row r="7" spans="1:26" s="253" customFormat="1" ht="15" x14ac:dyDescent="0.25">
      <c r="A7" s="252"/>
      <c r="B7" s="255"/>
      <c r="C7" s="255"/>
      <c r="I7" s="254"/>
      <c r="J7" s="256"/>
      <c r="K7" s="256"/>
      <c r="P7" s="254"/>
      <c r="Q7" s="254"/>
      <c r="V7" s="254"/>
    </row>
    <row r="8" spans="1:26" s="258" customFormat="1" ht="30" customHeight="1" x14ac:dyDescent="0.25">
      <c r="A8" s="257"/>
      <c r="B8" s="546" t="s">
        <v>2</v>
      </c>
      <c r="C8" s="546" t="s">
        <v>3</v>
      </c>
      <c r="D8" s="546" t="s">
        <v>4</v>
      </c>
      <c r="E8" s="546" t="s">
        <v>5</v>
      </c>
      <c r="F8" s="549" t="s">
        <v>28</v>
      </c>
      <c r="G8" s="546" t="s">
        <v>213</v>
      </c>
      <c r="H8" s="546"/>
      <c r="I8" s="547" t="s">
        <v>24</v>
      </c>
      <c r="J8" s="542" t="s">
        <v>11</v>
      </c>
      <c r="K8" s="544" t="s">
        <v>35</v>
      </c>
      <c r="L8" s="545"/>
      <c r="M8" s="562" t="s">
        <v>211</v>
      </c>
      <c r="N8" s="546" t="s">
        <v>214</v>
      </c>
      <c r="O8" s="546"/>
      <c r="P8" s="547" t="s">
        <v>24</v>
      </c>
      <c r="Q8" s="549" t="s">
        <v>10</v>
      </c>
      <c r="R8" s="546" t="s">
        <v>8</v>
      </c>
      <c r="S8" s="550" t="s">
        <v>17</v>
      </c>
      <c r="T8" s="546" t="s">
        <v>231</v>
      </c>
      <c r="U8" s="542" t="s">
        <v>215</v>
      </c>
      <c r="V8" s="546" t="s">
        <v>9</v>
      </c>
      <c r="W8" s="566" t="s">
        <v>224</v>
      </c>
      <c r="X8" s="566"/>
      <c r="Y8" s="546" t="s">
        <v>623</v>
      </c>
      <c r="Z8" s="546"/>
    </row>
    <row r="9" spans="1:26" s="258" customFormat="1" ht="90" customHeight="1" x14ac:dyDescent="0.25">
      <c r="A9" s="257"/>
      <c r="B9" s="546"/>
      <c r="C9" s="546"/>
      <c r="D9" s="546"/>
      <c r="E9" s="546"/>
      <c r="F9" s="549"/>
      <c r="G9" s="259" t="s">
        <v>6</v>
      </c>
      <c r="H9" s="259" t="s">
        <v>7</v>
      </c>
      <c r="I9" s="548"/>
      <c r="J9" s="543"/>
      <c r="K9" s="260" t="s">
        <v>229</v>
      </c>
      <c r="L9" s="261" t="s">
        <v>230</v>
      </c>
      <c r="M9" s="563"/>
      <c r="N9" s="262" t="s">
        <v>6</v>
      </c>
      <c r="O9" s="263" t="s">
        <v>7</v>
      </c>
      <c r="P9" s="548"/>
      <c r="Q9" s="549"/>
      <c r="R9" s="546"/>
      <c r="S9" s="550"/>
      <c r="T9" s="546"/>
      <c r="U9" s="543"/>
      <c r="V9" s="546"/>
      <c r="W9" s="247" t="s">
        <v>206</v>
      </c>
      <c r="X9" s="247" t="s">
        <v>207</v>
      </c>
      <c r="Y9" s="418" t="s">
        <v>658</v>
      </c>
      <c r="Z9" s="418" t="s">
        <v>659</v>
      </c>
    </row>
    <row r="10" spans="1:26" s="253" customFormat="1" ht="111" customHeight="1" x14ac:dyDescent="0.25">
      <c r="A10" s="283">
        <v>1</v>
      </c>
      <c r="B10" s="265" t="s">
        <v>280</v>
      </c>
      <c r="C10" s="266" t="s">
        <v>279</v>
      </c>
      <c r="D10" s="265"/>
      <c r="E10" s="265" t="s">
        <v>281</v>
      </c>
      <c r="F10" s="267" t="s">
        <v>32</v>
      </c>
      <c r="G10" s="265">
        <v>3</v>
      </c>
      <c r="H10" s="265">
        <v>2</v>
      </c>
      <c r="I10" s="380" t="str">
        <f>INDEX([11]Listas!$L$4:$P$8,G10,H10)</f>
        <v>MODERADA</v>
      </c>
      <c r="J10" s="269" t="s">
        <v>282</v>
      </c>
      <c r="K10" s="270" t="s">
        <v>228</v>
      </c>
      <c r="L10" s="270" t="s">
        <v>6</v>
      </c>
      <c r="M10" s="492">
        <v>75</v>
      </c>
      <c r="N10" s="265">
        <v>2</v>
      </c>
      <c r="O10" s="265">
        <v>2</v>
      </c>
      <c r="P10" s="380" t="str">
        <f>INDEX([11]Listas!$L$4:$P$8,N10,O10)</f>
        <v>BAJA</v>
      </c>
      <c r="Q10" s="270" t="s">
        <v>236</v>
      </c>
      <c r="R10" s="265" t="s">
        <v>283</v>
      </c>
      <c r="S10" s="267" t="s">
        <v>65</v>
      </c>
      <c r="T10" s="265" t="s">
        <v>64</v>
      </c>
      <c r="U10" s="265" t="s">
        <v>284</v>
      </c>
      <c r="V10" s="265" t="s">
        <v>285</v>
      </c>
      <c r="W10" s="273"/>
      <c r="X10" s="291"/>
      <c r="Y10" s="377">
        <f>5/5</f>
        <v>1</v>
      </c>
      <c r="Z10" s="441">
        <f>5/5</f>
        <v>1</v>
      </c>
    </row>
    <row r="11" spans="1:26" s="253" customFormat="1" ht="91.5" customHeight="1" x14ac:dyDescent="0.25">
      <c r="A11" s="283">
        <v>2</v>
      </c>
      <c r="B11" s="265" t="s">
        <v>81</v>
      </c>
      <c r="C11" s="266" t="s">
        <v>286</v>
      </c>
      <c r="D11" s="265"/>
      <c r="E11" s="265" t="s">
        <v>60</v>
      </c>
      <c r="F11" s="267" t="s">
        <v>27</v>
      </c>
      <c r="G11" s="265">
        <v>2</v>
      </c>
      <c r="H11" s="265">
        <v>3</v>
      </c>
      <c r="I11" s="380" t="str">
        <f>INDEX([11]Listas!$L$4:$P$8,G11,H11)</f>
        <v>MODERADA</v>
      </c>
      <c r="J11" s="269" t="s">
        <v>287</v>
      </c>
      <c r="K11" s="270" t="s">
        <v>228</v>
      </c>
      <c r="L11" s="270" t="s">
        <v>6</v>
      </c>
      <c r="M11" s="492">
        <v>75</v>
      </c>
      <c r="N11" s="265">
        <v>1</v>
      </c>
      <c r="O11" s="265">
        <v>3</v>
      </c>
      <c r="P11" s="380" t="str">
        <f>INDEX([11]Listas!$L$4:$P$8,N11,O11)</f>
        <v>MODERADA</v>
      </c>
      <c r="Q11" s="270" t="s">
        <v>237</v>
      </c>
      <c r="R11" s="265" t="s">
        <v>288</v>
      </c>
      <c r="S11" s="267" t="s">
        <v>65</v>
      </c>
      <c r="T11" s="265" t="s">
        <v>289</v>
      </c>
      <c r="U11" s="265" t="s">
        <v>290</v>
      </c>
      <c r="V11" s="265" t="s">
        <v>609</v>
      </c>
      <c r="W11" s="273"/>
      <c r="X11" s="291"/>
      <c r="Y11" s="377">
        <f>521/521</f>
        <v>1</v>
      </c>
      <c r="Z11" s="530">
        <f>696/696</f>
        <v>1</v>
      </c>
    </row>
    <row r="12" spans="1:26" s="253" customFormat="1" ht="90.75" customHeight="1" x14ac:dyDescent="0.25">
      <c r="A12" s="283">
        <v>3</v>
      </c>
      <c r="B12" s="265" t="s">
        <v>82</v>
      </c>
      <c r="C12" s="266" t="s">
        <v>59</v>
      </c>
      <c r="D12" s="265"/>
      <c r="E12" s="265" t="s">
        <v>61</v>
      </c>
      <c r="F12" s="267" t="s">
        <v>76</v>
      </c>
      <c r="G12" s="265">
        <v>3</v>
      </c>
      <c r="H12" s="265">
        <v>2</v>
      </c>
      <c r="I12" s="380" t="str">
        <f>INDEX([11]Listas!$L$4:$P$8,G12,H12)</f>
        <v>MODERADA</v>
      </c>
      <c r="J12" s="269" t="s">
        <v>62</v>
      </c>
      <c r="K12" s="270" t="s">
        <v>228</v>
      </c>
      <c r="L12" s="270" t="s">
        <v>6</v>
      </c>
      <c r="M12" s="491">
        <v>85</v>
      </c>
      <c r="N12" s="265">
        <v>2</v>
      </c>
      <c r="O12" s="265">
        <v>2</v>
      </c>
      <c r="P12" s="380" t="str">
        <f>INDEX([11]Listas!$L$4:$P$8,N12,O12)</f>
        <v>BAJA</v>
      </c>
      <c r="Q12" s="270" t="s">
        <v>236</v>
      </c>
      <c r="R12" s="265" t="s">
        <v>63</v>
      </c>
      <c r="S12" s="267" t="s">
        <v>22</v>
      </c>
      <c r="T12" s="265" t="s">
        <v>64</v>
      </c>
      <c r="U12" s="265" t="s">
        <v>284</v>
      </c>
      <c r="V12" s="265" t="s">
        <v>610</v>
      </c>
      <c r="W12" s="273"/>
      <c r="X12" s="291"/>
      <c r="Y12" s="376" t="s">
        <v>638</v>
      </c>
      <c r="Z12" s="376" t="s">
        <v>638</v>
      </c>
    </row>
    <row r="13" spans="1:26" s="253" customFormat="1" ht="151.5" customHeight="1" x14ac:dyDescent="0.25">
      <c r="A13" s="283">
        <v>4</v>
      </c>
      <c r="B13" s="265" t="s">
        <v>291</v>
      </c>
      <c r="C13" s="266" t="s">
        <v>292</v>
      </c>
      <c r="D13" s="265"/>
      <c r="E13" s="265" t="s">
        <v>293</v>
      </c>
      <c r="F13" s="267" t="s">
        <v>15</v>
      </c>
      <c r="G13" s="265">
        <v>1</v>
      </c>
      <c r="H13" s="265">
        <v>2</v>
      </c>
      <c r="I13" s="380" t="str">
        <f>INDEX([11]Listas!$L$4:$P$8,G13,H13)</f>
        <v>BAJA</v>
      </c>
      <c r="J13" s="269" t="s">
        <v>294</v>
      </c>
      <c r="K13" s="270" t="s">
        <v>228</v>
      </c>
      <c r="L13" s="270" t="s">
        <v>6</v>
      </c>
      <c r="M13" s="492">
        <v>70</v>
      </c>
      <c r="N13" s="265">
        <v>1</v>
      </c>
      <c r="O13" s="265">
        <v>2</v>
      </c>
      <c r="P13" s="380" t="str">
        <f>INDEX([11]Listas!$L$4:$P$8,N13,O13)</f>
        <v>BAJA</v>
      </c>
      <c r="Q13" s="270" t="s">
        <v>236</v>
      </c>
      <c r="R13" s="265" t="s">
        <v>651</v>
      </c>
      <c r="S13" s="267" t="s">
        <v>295</v>
      </c>
      <c r="T13" s="265" t="s">
        <v>64</v>
      </c>
      <c r="U13" s="265" t="s">
        <v>296</v>
      </c>
      <c r="V13" s="265" t="s">
        <v>611</v>
      </c>
      <c r="W13" s="273"/>
      <c r="X13" s="291"/>
      <c r="Y13" s="376" t="s">
        <v>639</v>
      </c>
      <c r="Z13" s="376" t="s">
        <v>639</v>
      </c>
    </row>
    <row r="14" spans="1:26" ht="14.25" x14ac:dyDescent="0.2">
      <c r="B14" s="6"/>
      <c r="C14" s="7"/>
      <c r="D14" s="292"/>
      <c r="E14" s="9"/>
      <c r="F14" s="9"/>
      <c r="G14" s="9"/>
      <c r="H14" s="9"/>
      <c r="I14" s="10"/>
      <c r="J14" s="19"/>
      <c r="K14" s="19"/>
      <c r="L14" s="9"/>
      <c r="M14" s="11"/>
      <c r="Y14" s="411"/>
    </row>
    <row r="15" spans="1:26" x14ac:dyDescent="0.2">
      <c r="B15" s="12"/>
      <c r="C15" s="12"/>
      <c r="D15" s="12"/>
      <c r="E15" s="12"/>
      <c r="F15" s="12"/>
      <c r="G15" s="541" t="s">
        <v>97</v>
      </c>
      <c r="H15" s="541"/>
      <c r="I15" s="36">
        <f>COUNTIF(I10:I13,"BAJA")</f>
        <v>1</v>
      </c>
      <c r="J15" s="19"/>
      <c r="K15" s="19"/>
      <c r="L15" s="9"/>
      <c r="M15" s="11"/>
      <c r="N15" s="541" t="s">
        <v>97</v>
      </c>
      <c r="O15" s="541"/>
      <c r="P15" s="36">
        <f>COUNTIF(P10:P13,"BAJA")</f>
        <v>3</v>
      </c>
    </row>
    <row r="16" spans="1:26" x14ac:dyDescent="0.2">
      <c r="B16" s="571"/>
      <c r="C16" s="571"/>
      <c r="D16" s="571"/>
      <c r="E16" s="571"/>
      <c r="F16" s="571"/>
      <c r="G16" s="541" t="s">
        <v>99</v>
      </c>
      <c r="H16" s="541"/>
      <c r="I16" s="36">
        <f>COUNTIF(I10:I13,"MODERADA")</f>
        <v>3</v>
      </c>
      <c r="J16" s="19"/>
      <c r="K16" s="19"/>
      <c r="L16" s="9"/>
      <c r="M16" s="12"/>
      <c r="N16" s="541" t="s">
        <v>99</v>
      </c>
      <c r="O16" s="541"/>
      <c r="P16" s="36">
        <f>COUNTIF(P10:P13,"MODERADA")</f>
        <v>1</v>
      </c>
    </row>
    <row r="17" spans="2:22" x14ac:dyDescent="0.2">
      <c r="B17" s="9"/>
      <c r="C17" s="9"/>
      <c r="D17" s="9"/>
      <c r="E17" s="9"/>
      <c r="F17" s="9"/>
      <c r="G17" s="541" t="s">
        <v>98</v>
      </c>
      <c r="H17" s="541"/>
      <c r="I17" s="36">
        <f>COUNTIF(I10:I13,"ALTA")</f>
        <v>0</v>
      </c>
      <c r="J17" s="19"/>
      <c r="K17" s="19"/>
      <c r="L17" s="9"/>
      <c r="M17" s="9"/>
      <c r="N17" s="541" t="s">
        <v>98</v>
      </c>
      <c r="O17" s="541"/>
      <c r="P17" s="36">
        <f>COUNTIF(P10:P13,"ALTA")</f>
        <v>0</v>
      </c>
      <c r="Q17" s="229"/>
      <c r="V17" s="229"/>
    </row>
    <row r="18" spans="2:22" ht="15.75" x14ac:dyDescent="0.2">
      <c r="B18" s="341"/>
      <c r="C18" s="9"/>
      <c r="D18" s="9"/>
      <c r="E18" s="340"/>
      <c r="F18" s="9"/>
      <c r="G18" s="541" t="s">
        <v>100</v>
      </c>
      <c r="H18" s="541"/>
      <c r="I18" s="36">
        <f>COUNTIF(I10:I13,"EXTREMA")</f>
        <v>0</v>
      </c>
      <c r="J18" s="19"/>
      <c r="K18" s="19"/>
      <c r="L18" s="9"/>
      <c r="M18" s="9"/>
      <c r="N18" s="541" t="s">
        <v>100</v>
      </c>
      <c r="O18" s="541"/>
      <c r="P18" s="36">
        <f>COUNTIF(P10:P13,"EXTREMA")</f>
        <v>0</v>
      </c>
      <c r="Q18" s="229"/>
      <c r="V18" s="229"/>
    </row>
    <row r="19" spans="2:22" x14ac:dyDescent="0.2">
      <c r="D19" s="9"/>
      <c r="E19" s="9"/>
      <c r="G19" s="9"/>
      <c r="H19" s="9"/>
      <c r="I19" s="10"/>
      <c r="J19" s="19"/>
      <c r="K19" s="19"/>
      <c r="L19" s="9"/>
      <c r="M19" s="9" t="s">
        <v>21</v>
      </c>
      <c r="P19" s="229"/>
      <c r="Q19" s="229"/>
      <c r="V19" s="229"/>
    </row>
    <row r="20" spans="2:22" x14ac:dyDescent="0.2">
      <c r="D20" s="9"/>
      <c r="E20" s="9"/>
      <c r="G20" s="9"/>
      <c r="H20" s="9"/>
      <c r="I20" s="10"/>
      <c r="J20" s="19"/>
      <c r="K20" s="19"/>
      <c r="L20" s="9"/>
      <c r="M20" s="9"/>
      <c r="P20" s="229"/>
      <c r="Q20" s="229"/>
      <c r="V20" s="229"/>
    </row>
    <row r="21" spans="2:22" ht="15" x14ac:dyDescent="0.2">
      <c r="B21" s="367"/>
      <c r="C21" s="368"/>
      <c r="D21" s="362"/>
      <c r="E21" s="233"/>
      <c r="F21" s="233"/>
      <c r="G21" s="233"/>
      <c r="H21" s="9"/>
      <c r="I21" s="10"/>
      <c r="J21" s="19"/>
      <c r="K21" s="19"/>
      <c r="L21" s="9"/>
      <c r="M21" s="9"/>
      <c r="P21" s="229"/>
      <c r="Q21" s="229"/>
      <c r="V21" s="229"/>
    </row>
    <row r="22" spans="2:22" ht="15" x14ac:dyDescent="0.2">
      <c r="B22" s="363" t="s">
        <v>592</v>
      </c>
      <c r="C22" s="366"/>
      <c r="D22" s="364"/>
      <c r="E22" s="365" t="s">
        <v>654</v>
      </c>
      <c r="F22" s="365"/>
      <c r="G22" s="365"/>
      <c r="H22" s="9"/>
      <c r="I22" s="10"/>
      <c r="P22" s="229"/>
      <c r="Q22" s="229"/>
      <c r="V22" s="229"/>
    </row>
    <row r="23" spans="2:22" ht="15" x14ac:dyDescent="0.2">
      <c r="B23" s="232" t="s">
        <v>244</v>
      </c>
      <c r="C23" s="171"/>
      <c r="D23" s="172"/>
      <c r="E23" s="232" t="s">
        <v>245</v>
      </c>
      <c r="F23" s="171"/>
      <c r="G23" s="14"/>
      <c r="H23" s="9"/>
      <c r="I23" s="10"/>
      <c r="P23" s="229"/>
      <c r="Q23" s="229"/>
      <c r="V23" s="229"/>
    </row>
    <row r="24" spans="2:22" x14ac:dyDescent="0.2">
      <c r="D24" s="9"/>
      <c r="H24" s="9"/>
      <c r="I24" s="10"/>
      <c r="P24" s="229"/>
      <c r="Q24" s="229"/>
      <c r="V24" s="229"/>
    </row>
    <row r="25" spans="2:22" x14ac:dyDescent="0.2">
      <c r="D25" s="9"/>
      <c r="H25" s="9"/>
      <c r="I25" s="10"/>
      <c r="P25" s="229"/>
      <c r="Q25" s="229"/>
      <c r="V25" s="229"/>
    </row>
    <row r="26" spans="2:22" x14ac:dyDescent="0.2">
      <c r="D26" s="9"/>
      <c r="H26" s="9"/>
      <c r="I26" s="10"/>
      <c r="P26" s="229"/>
      <c r="Q26" s="229"/>
      <c r="V26" s="229"/>
    </row>
    <row r="27" spans="2:22" x14ac:dyDescent="0.2">
      <c r="D27" s="9"/>
      <c r="H27" s="9"/>
      <c r="I27" s="10"/>
      <c r="P27" s="229"/>
      <c r="Q27" s="229"/>
      <c r="V27" s="229"/>
    </row>
    <row r="28" spans="2:22" x14ac:dyDescent="0.2">
      <c r="D28" s="9"/>
      <c r="H28" s="9"/>
      <c r="I28" s="10"/>
      <c r="P28" s="229"/>
      <c r="Q28" s="229"/>
      <c r="V28" s="229"/>
    </row>
    <row r="29" spans="2:22" x14ac:dyDescent="0.2">
      <c r="D29" s="9"/>
      <c r="H29" s="9"/>
      <c r="I29" s="10"/>
      <c r="P29" s="229"/>
      <c r="Q29" s="229"/>
      <c r="V29" s="229"/>
    </row>
    <row r="30" spans="2:22" x14ac:dyDescent="0.2">
      <c r="D30" s="9"/>
      <c r="P30" s="229"/>
      <c r="Q30" s="229"/>
      <c r="V30" s="229"/>
    </row>
    <row r="31" spans="2:22" x14ac:dyDescent="0.2">
      <c r="D31" s="9"/>
      <c r="P31" s="229"/>
      <c r="Q31" s="229"/>
      <c r="V31" s="229"/>
    </row>
    <row r="32" spans="2:22" x14ac:dyDescent="0.2">
      <c r="D32" s="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row r="54" spans="4:22" x14ac:dyDescent="0.2">
      <c r="D54" s="9"/>
      <c r="I54" s="229"/>
      <c r="J54" s="229"/>
      <c r="K54" s="229"/>
      <c r="P54" s="229"/>
      <c r="Q54" s="229"/>
      <c r="V54" s="229"/>
    </row>
    <row r="55" spans="4:22" x14ac:dyDescent="0.2">
      <c r="D55" s="9"/>
      <c r="I55" s="229"/>
      <c r="J55" s="229"/>
      <c r="K55" s="229"/>
      <c r="P55" s="229"/>
      <c r="Q55" s="229"/>
      <c r="V55" s="229"/>
    </row>
    <row r="56" spans="4:22" x14ac:dyDescent="0.2">
      <c r="D56" s="9"/>
      <c r="I56" s="229"/>
      <c r="J56" s="229"/>
      <c r="K56" s="229"/>
      <c r="P56" s="229"/>
      <c r="Q56" s="229"/>
      <c r="V56" s="229"/>
    </row>
  </sheetData>
  <customSheetViews>
    <customSheetView guid="{B83C9EB8-C964-4489-98C8-19C81BFAE010}" scale="85" fitToPage="1" hiddenColumns="1">
      <selection activeCell="U19" sqref="A1:V19"/>
      <pageMargins left="1.3779527559055118" right="0.38" top="0.97" bottom="0.17" header="0.31496062992125984" footer="0.21"/>
      <printOptions horizontalCentered="1"/>
      <pageSetup paperSize="5" scale="90" fitToHeight="99" orientation="landscape" r:id="rId1"/>
    </customSheetView>
    <customSheetView guid="{42BB51DB-DC3E-4DA5-9499-5574EB19780E}" scale="85" fitToPage="1" hiddenColumns="1">
      <selection activeCell="U19" sqref="A1:V19"/>
      <pageMargins left="1.3779527559055118" right="0.38" top="0.97" bottom="0.17" header="0.31496062992125984" footer="0.21"/>
      <printOptions horizontalCentered="1"/>
      <pageSetup paperSize="5" scale="90" fitToHeight="99" orientation="landscape" r:id="rId2"/>
    </customSheetView>
    <customSheetView guid="{D8BB7E15-0E8F-45FC-AD1A-6D8C295A087C}" scale="85" fitToPage="1" hiddenColumns="1">
      <selection activeCell="U19" sqref="A1:V19"/>
      <pageMargins left="1.3779527559055118" right="0.38" top="0.97" bottom="0.17" header="0.31496062992125984" footer="0.21"/>
      <printOptions horizontalCentered="1"/>
      <pageSetup paperSize="5" scale="90" fitToHeight="99" orientation="landscape" r:id="rId3"/>
    </customSheetView>
    <customSheetView guid="{F7D68F61-F89A-4541-9A78-C25C58CA23E3}"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C8C25E0F-313C-40E1-BC27-B55128053FAD}"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D674221F-3F50-45D7-B99E-107AE99970DE}"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E51A7B7A-B72C-4D0D-BEC9-3100296DDB1B}"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C9A17BF0-2451-44C4-898F-CFB8403323EA}"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DC041AD4-35AB-4F1B-9F3D-F08C88A9A16C}"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CC42E740-ADA2-4B3E-AB77-9BBCCE9EC444}" scale="85" fitToPage="1" printArea="1" hiddenColumns="1">
      <selection activeCell="U19" sqref="A1:V19"/>
      <pageMargins left="1.3779527559055118" right="0.38" top="0.97" bottom="0.17" header="0.31496062992125984" footer="0.21"/>
      <printOptions horizontalCentered="1"/>
      <pageSetup paperSize="5" scale="90" fitToHeight="99" orientation="landscape" r:id="rId16"/>
    </customSheetView>
    <customSheetView guid="{AF3BF2A1-5C19-43AE-A08B-3E418E8AE543}" scale="85" fitToPage="1" printArea="1" hiddenColumns="1">
      <selection activeCell="U19" sqref="A1:V19"/>
      <pageMargins left="1.3779527559055118" right="0.38" top="0.97" bottom="0.17" header="0.31496062992125984" footer="0.21"/>
      <printOptions horizontalCentered="1"/>
      <pageSetup paperSize="5" scale="90" fitToHeight="99" orientation="landscape" r:id="rId17"/>
    </customSheetView>
    <customSheetView guid="{ADD38025-F4B2-44E2-9D06-07A9BF0F3A51}" scale="85" fitToPage="1" hiddenColumns="1">
      <selection activeCell="U19" sqref="A1:V19"/>
      <pageMargins left="1.3779527559055118" right="0.38" top="0.97" bottom="0.17" header="0.31496062992125984" footer="0.21"/>
      <printOptions horizontalCentered="1"/>
      <pageSetup paperSize="5" scale="90" fitToHeight="99" orientation="landscape" r:id="rId18"/>
    </customSheetView>
    <customSheetView guid="{97D65C1E-976A-4956-97FC-0E8188ABCFAA}" scale="85" fitToPage="1" hiddenColumns="1">
      <selection activeCell="U19" sqref="A1:V19"/>
      <pageMargins left="1.3779527559055118" right="0.38" top="0.97" bottom="0.17" header="0.31496062992125984" footer="0.21"/>
      <printOptions horizontalCentered="1"/>
      <pageSetup paperSize="5" scale="90" fitToHeight="99" orientation="landscape" r:id="rId19"/>
    </customSheetView>
  </customSheetViews>
  <mergeCells count="36">
    <mergeCell ref="Y8:Z8"/>
    <mergeCell ref="B1:C3"/>
    <mergeCell ref="D1:U3"/>
    <mergeCell ref="B5:C5"/>
    <mergeCell ref="E5:O5"/>
    <mergeCell ref="P5:Q5"/>
    <mergeCell ref="W8:X8"/>
    <mergeCell ref="Q8:Q9"/>
    <mergeCell ref="R8:R9"/>
    <mergeCell ref="M8:M9"/>
    <mergeCell ref="U8:U9"/>
    <mergeCell ref="S8:S9"/>
    <mergeCell ref="T8:T9"/>
    <mergeCell ref="V8:V9"/>
    <mergeCell ref="B6:C6"/>
    <mergeCell ref="E6:T6"/>
    <mergeCell ref="G17:H17"/>
    <mergeCell ref="G18:H18"/>
    <mergeCell ref="N15:O15"/>
    <mergeCell ref="N16:O16"/>
    <mergeCell ref="N17:O17"/>
    <mergeCell ref="N18:O18"/>
    <mergeCell ref="B16:F16"/>
    <mergeCell ref="N8:O8"/>
    <mergeCell ref="P8:P9"/>
    <mergeCell ref="G15:H15"/>
    <mergeCell ref="G16:H16"/>
    <mergeCell ref="B8:B9"/>
    <mergeCell ref="C8:C9"/>
    <mergeCell ref="D8:D9"/>
    <mergeCell ref="K8:L8"/>
    <mergeCell ref="E8:E9"/>
    <mergeCell ref="F8:F9"/>
    <mergeCell ref="G8:H8"/>
    <mergeCell ref="I8:I9"/>
    <mergeCell ref="J8:J9"/>
  </mergeCells>
  <conditionalFormatting sqref="I7 P7 I14:I1048576 P14:P1048576">
    <cfRule type="cellIs" dxfId="266" priority="76" operator="equal">
      <formula>"BAJA"</formula>
    </cfRule>
  </conditionalFormatting>
  <conditionalFormatting sqref="I7 P7 I14:I1048576 P14:P1048576">
    <cfRule type="cellIs" dxfId="265" priority="73" operator="equal">
      <formula>"EXTREMA"</formula>
    </cfRule>
    <cfRule type="cellIs" dxfId="264" priority="74" operator="equal">
      <formula>"ALTA"</formula>
    </cfRule>
    <cfRule type="cellIs" dxfId="263" priority="75" operator="equal">
      <formula>"MODERADA"</formula>
    </cfRule>
  </conditionalFormatting>
  <conditionalFormatting sqref="F7:G7 F14:G20 N7:O7 N14:O1048576 F24:G1048576">
    <cfRule type="colorScale" priority="72">
      <colorScale>
        <cfvo type="num" val="1"/>
        <cfvo type="num" val="3"/>
        <cfvo type="num" val="5"/>
        <color theme="6" tint="-0.499984740745262"/>
        <color rgb="FFFFFF00"/>
        <color rgb="FFC00000"/>
      </colorScale>
    </cfRule>
  </conditionalFormatting>
  <conditionalFormatting sqref="I15:I18">
    <cfRule type="cellIs" dxfId="262" priority="71" operator="equal">
      <formula>"BAJA"</formula>
    </cfRule>
  </conditionalFormatting>
  <conditionalFormatting sqref="I15:I18">
    <cfRule type="cellIs" dxfId="261" priority="68" operator="equal">
      <formula>"EXTREMA"</formula>
    </cfRule>
    <cfRule type="cellIs" dxfId="260" priority="69" operator="equal">
      <formula>"ALTA"</formula>
    </cfRule>
    <cfRule type="cellIs" dxfId="259" priority="70" operator="equal">
      <formula>"MODERADA"</formula>
    </cfRule>
  </conditionalFormatting>
  <conditionalFormatting sqref="G15:G18">
    <cfRule type="colorScale" priority="67">
      <colorScale>
        <cfvo type="num" val="1"/>
        <cfvo type="num" val="3"/>
        <cfvo type="num" val="5"/>
        <color theme="6" tint="-0.499984740745262"/>
        <color rgb="FFFFFF00"/>
        <color rgb="FFC00000"/>
      </colorScale>
    </cfRule>
  </conditionalFormatting>
  <conditionalFormatting sqref="I15:I18">
    <cfRule type="cellIs" dxfId="258" priority="66" operator="equal">
      <formula>"BAJA"</formula>
    </cfRule>
  </conditionalFormatting>
  <conditionalFormatting sqref="I15:I18">
    <cfRule type="cellIs" dxfId="257" priority="63" operator="equal">
      <formula>"EXTREMA"</formula>
    </cfRule>
    <cfRule type="cellIs" dxfId="256" priority="64" operator="equal">
      <formula>"ALTA"</formula>
    </cfRule>
    <cfRule type="cellIs" dxfId="255" priority="65" operator="equal">
      <formula>"MODERADA"</formula>
    </cfRule>
  </conditionalFormatting>
  <conditionalFormatting sqref="G15:G18">
    <cfRule type="colorScale" priority="62">
      <colorScale>
        <cfvo type="num" val="1"/>
        <cfvo type="num" val="3"/>
        <cfvo type="num" val="5"/>
        <color theme="6" tint="-0.499984740745262"/>
        <color rgb="FFFFFF00"/>
        <color rgb="FFC00000"/>
      </colorScale>
    </cfRule>
  </conditionalFormatting>
  <conditionalFormatting sqref="I15:I18">
    <cfRule type="cellIs" dxfId="254" priority="61" operator="equal">
      <formula>"BAJA"</formula>
    </cfRule>
  </conditionalFormatting>
  <conditionalFormatting sqref="I15:I18">
    <cfRule type="cellIs" dxfId="253" priority="58" operator="equal">
      <formula>"EXTREMA"</formula>
    </cfRule>
    <cfRule type="cellIs" dxfId="252" priority="59" operator="equal">
      <formula>"ALTA"</formula>
    </cfRule>
    <cfRule type="cellIs" dxfId="251" priority="60" operator="equal">
      <formula>"MODERADA"</formula>
    </cfRule>
  </conditionalFormatting>
  <conditionalFormatting sqref="G15:G18">
    <cfRule type="colorScale" priority="57">
      <colorScale>
        <cfvo type="num" val="1"/>
        <cfvo type="num" val="3"/>
        <cfvo type="num" val="5"/>
        <color theme="6" tint="-0.499984740745262"/>
        <color rgb="FFFFFF00"/>
        <color rgb="FFC00000"/>
      </colorScale>
    </cfRule>
  </conditionalFormatting>
  <conditionalFormatting sqref="I15:I18">
    <cfRule type="cellIs" dxfId="250" priority="56" operator="equal">
      <formula>"BAJA"</formula>
    </cfRule>
  </conditionalFormatting>
  <conditionalFormatting sqref="I15:I18">
    <cfRule type="cellIs" dxfId="249" priority="53" operator="equal">
      <formula>"EXTREMA"</formula>
    </cfRule>
    <cfRule type="cellIs" dxfId="248" priority="54" operator="equal">
      <formula>"ALTA"</formula>
    </cfRule>
    <cfRule type="cellIs" dxfId="247" priority="55" operator="equal">
      <formula>"MODERADA"</formula>
    </cfRule>
  </conditionalFormatting>
  <conditionalFormatting sqref="G15:G18">
    <cfRule type="colorScale" priority="52">
      <colorScale>
        <cfvo type="num" val="1"/>
        <cfvo type="num" val="3"/>
        <cfvo type="num" val="5"/>
        <color theme="6" tint="-0.499984740745262"/>
        <color rgb="FFFFFF00"/>
        <color rgb="FFC00000"/>
      </colorScale>
    </cfRule>
  </conditionalFormatting>
  <conditionalFormatting sqref="I15:I18">
    <cfRule type="cellIs" dxfId="246" priority="51" operator="equal">
      <formula>"BAJA"</formula>
    </cfRule>
  </conditionalFormatting>
  <conditionalFormatting sqref="I15:I18">
    <cfRule type="cellIs" dxfId="245" priority="48" operator="equal">
      <formula>"EXTREMA"</formula>
    </cfRule>
    <cfRule type="cellIs" dxfId="244" priority="49" operator="equal">
      <formula>"ALTA"</formula>
    </cfRule>
    <cfRule type="cellIs" dxfId="243" priority="50" operator="equal">
      <formula>"MODERADA"</formula>
    </cfRule>
  </conditionalFormatting>
  <conditionalFormatting sqref="P15:P18">
    <cfRule type="cellIs" dxfId="242" priority="47" operator="equal">
      <formula>"BAJA"</formula>
    </cfRule>
  </conditionalFormatting>
  <conditionalFormatting sqref="P15:P18">
    <cfRule type="cellIs" dxfId="241" priority="44" operator="equal">
      <formula>"EXTREMA"</formula>
    </cfRule>
    <cfRule type="cellIs" dxfId="240" priority="45" operator="equal">
      <formula>"ALTA"</formula>
    </cfRule>
    <cfRule type="cellIs" dxfId="239" priority="46" operator="equal">
      <formula>"MODERADA"</formula>
    </cfRule>
  </conditionalFormatting>
  <conditionalFormatting sqref="N15:N18">
    <cfRule type="colorScale" priority="43">
      <colorScale>
        <cfvo type="num" val="1"/>
        <cfvo type="num" val="3"/>
        <cfvo type="num" val="5"/>
        <color theme="6" tint="-0.499984740745262"/>
        <color rgb="FFFFFF00"/>
        <color rgb="FFC00000"/>
      </colorScale>
    </cfRule>
  </conditionalFormatting>
  <conditionalFormatting sqref="P15:P18">
    <cfRule type="cellIs" dxfId="238" priority="42" operator="equal">
      <formula>"BAJA"</formula>
    </cfRule>
  </conditionalFormatting>
  <conditionalFormatting sqref="P15:P18">
    <cfRule type="cellIs" dxfId="237" priority="39" operator="equal">
      <formula>"EXTREMA"</formula>
    </cfRule>
    <cfRule type="cellIs" dxfId="236" priority="40" operator="equal">
      <formula>"ALTA"</formula>
    </cfRule>
    <cfRule type="cellIs" dxfId="235" priority="41" operator="equal">
      <formula>"MODERADA"</formula>
    </cfRule>
  </conditionalFormatting>
  <conditionalFormatting sqref="N15:N18">
    <cfRule type="colorScale" priority="38">
      <colorScale>
        <cfvo type="num" val="1"/>
        <cfvo type="num" val="3"/>
        <cfvo type="num" val="5"/>
        <color theme="6" tint="-0.499984740745262"/>
        <color rgb="FFFFFF00"/>
        <color rgb="FFC00000"/>
      </colorScale>
    </cfRule>
  </conditionalFormatting>
  <conditionalFormatting sqref="P15:P18">
    <cfRule type="cellIs" dxfId="234" priority="37" operator="equal">
      <formula>"BAJA"</formula>
    </cfRule>
  </conditionalFormatting>
  <conditionalFormatting sqref="P15:P18">
    <cfRule type="cellIs" dxfId="233" priority="34" operator="equal">
      <formula>"EXTREMA"</formula>
    </cfRule>
    <cfRule type="cellIs" dxfId="232" priority="35" operator="equal">
      <formula>"ALTA"</formula>
    </cfRule>
    <cfRule type="cellIs" dxfId="231" priority="36" operator="equal">
      <formula>"MODERADA"</formula>
    </cfRule>
  </conditionalFormatting>
  <conditionalFormatting sqref="N15:N18">
    <cfRule type="colorScale" priority="33">
      <colorScale>
        <cfvo type="num" val="1"/>
        <cfvo type="num" val="3"/>
        <cfvo type="num" val="5"/>
        <color theme="6" tint="-0.499984740745262"/>
        <color rgb="FFFFFF00"/>
        <color rgb="FFC00000"/>
      </colorScale>
    </cfRule>
  </conditionalFormatting>
  <conditionalFormatting sqref="P15:P18">
    <cfRule type="cellIs" dxfId="230" priority="32" operator="equal">
      <formula>"BAJA"</formula>
    </cfRule>
  </conditionalFormatting>
  <conditionalFormatting sqref="P15:P18">
    <cfRule type="cellIs" dxfId="229" priority="29" operator="equal">
      <formula>"EXTREMA"</formula>
    </cfRule>
    <cfRule type="cellIs" dxfId="228" priority="30" operator="equal">
      <formula>"ALTA"</formula>
    </cfRule>
    <cfRule type="cellIs" dxfId="227" priority="31" operator="equal">
      <formula>"MODERADA"</formula>
    </cfRule>
  </conditionalFormatting>
  <conditionalFormatting sqref="N15:N18">
    <cfRule type="colorScale" priority="28">
      <colorScale>
        <cfvo type="num" val="1"/>
        <cfvo type="num" val="3"/>
        <cfvo type="num" val="5"/>
        <color theme="6" tint="-0.499984740745262"/>
        <color rgb="FFFFFF00"/>
        <color rgb="FFC00000"/>
      </colorScale>
    </cfRule>
  </conditionalFormatting>
  <conditionalFormatting sqref="P15:P18">
    <cfRule type="cellIs" dxfId="226" priority="27" operator="equal">
      <formula>"BAJA"</formula>
    </cfRule>
  </conditionalFormatting>
  <conditionalFormatting sqref="P15:P18">
    <cfRule type="cellIs" dxfId="225" priority="24" operator="equal">
      <formula>"EXTREMA"</formula>
    </cfRule>
    <cfRule type="cellIs" dxfId="224" priority="25" operator="equal">
      <formula>"ALTA"</formula>
    </cfRule>
    <cfRule type="cellIs" dxfId="223" priority="26" operator="equal">
      <formula>"MODERADA"</formula>
    </cfRule>
  </conditionalFormatting>
  <conditionalFormatting sqref="G8:H9">
    <cfRule type="colorScale" priority="14">
      <colorScale>
        <cfvo type="num" val="1"/>
        <cfvo type="num" val="3"/>
        <cfvo type="num" val="5"/>
        <color theme="6" tint="-0.499984740745262"/>
        <color rgb="FFFFFF00"/>
        <color rgb="FFC00000"/>
      </colorScale>
    </cfRule>
  </conditionalFormatting>
  <conditionalFormatting sqref="P8:P9">
    <cfRule type="cellIs" dxfId="222" priority="13" operator="equal">
      <formula>"BAJA"</formula>
    </cfRule>
  </conditionalFormatting>
  <conditionalFormatting sqref="P8:P9">
    <cfRule type="cellIs" dxfId="221" priority="10" operator="equal">
      <formula>"EXTREMA"</formula>
    </cfRule>
    <cfRule type="cellIs" dxfId="220" priority="11" operator="equal">
      <formula>"ALTA"</formula>
    </cfRule>
    <cfRule type="cellIs" dxfId="219" priority="12" operator="equal">
      <formula>"MODERADA"</formula>
    </cfRule>
  </conditionalFormatting>
  <conditionalFormatting sqref="N8:O9">
    <cfRule type="colorScale" priority="9">
      <colorScale>
        <cfvo type="num" val="1"/>
        <cfvo type="num" val="3"/>
        <cfvo type="num" val="5"/>
        <color theme="6" tint="-0.499984740745262"/>
        <color rgb="FFFFFF00"/>
        <color rgb="FFC00000"/>
      </colorScale>
    </cfRule>
  </conditionalFormatting>
  <conditionalFormatting sqref="F4:G4 N4:O4">
    <cfRule type="colorScale" priority="8">
      <colorScale>
        <cfvo type="num" val="1"/>
        <cfvo type="num" val="3"/>
        <cfvo type="num" val="5"/>
        <color theme="6" tint="-0.499984740745262"/>
        <color rgb="FFFFFF00"/>
        <color rgb="FFC00000"/>
      </colorScale>
    </cfRule>
  </conditionalFormatting>
  <conditionalFormatting sqref="G10:H13 N10:O13">
    <cfRule type="colorScale" priority="6">
      <colorScale>
        <cfvo type="num" val="1"/>
        <cfvo type="num" val="3"/>
        <cfvo type="num" val="5"/>
        <color theme="6" tint="-0.499984740745262"/>
        <color rgb="FFFFFF00"/>
        <color rgb="FFC00000"/>
      </colorScale>
    </cfRule>
  </conditionalFormatting>
  <conditionalFormatting sqref="I10:I13 P10:P13">
    <cfRule type="cellIs" dxfId="218" priority="2" operator="equal">
      <formula>"EXTREMA"</formula>
    </cfRule>
    <cfRule type="cellIs" dxfId="217" priority="3" operator="equal">
      <formula>"ALTA"</formula>
    </cfRule>
    <cfRule type="cellIs" dxfId="216" priority="4" operator="equal">
      <formula>"MODERADA"</formula>
    </cfRule>
    <cfRule type="cellIs" dxfId="215" priority="5" operator="equal">
      <formula>"BAJA"</formula>
    </cfRule>
  </conditionalFormatting>
  <conditionalFormatting sqref="F21:G2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74803149606299213" bottom="0.55118110236220474" header="0.31496062992125984" footer="0.31496062992125984"/>
  <pageSetup paperSize="5" scale="50"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B00-000000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K10:K13</xm:sqref>
        </x14:dataValidation>
        <x14:dataValidation type="list" showInputMessage="1" showErrorMessage="1" xr:uid="{00000000-0002-0000-0B00-000001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F10:F13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autoPageBreaks="0"/>
  </sheetPr>
  <dimension ref="A1:Z56"/>
  <sheetViews>
    <sheetView topLeftCell="I13" zoomScale="90" zoomScaleNormal="90" workbookViewId="0">
      <selection activeCell="Z14" sqref="Z14"/>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9.8554687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1.140625" style="229" customWidth="1"/>
    <col min="21" max="21" width="16.7109375" style="229" customWidth="1"/>
    <col min="22" max="22" width="30.42578125" style="18" customWidth="1"/>
    <col min="23" max="24" width="36.7109375" style="229" hidden="1" customWidth="1"/>
    <col min="25" max="25" width="16.42578125" style="229" customWidth="1"/>
    <col min="26" max="26" width="14.140625" style="229" customWidth="1"/>
    <col min="27" max="16384" width="11.42578125" style="229"/>
  </cols>
  <sheetData>
    <row r="1" spans="1:26" ht="34.5"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6" ht="34.5"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6" ht="34.5"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6"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321"/>
    </row>
    <row r="5" spans="1:26" s="253" customFormat="1" ht="24" customHeight="1" x14ac:dyDescent="0.25">
      <c r="A5" s="252"/>
      <c r="B5" s="553" t="s">
        <v>0</v>
      </c>
      <c r="C5" s="554"/>
      <c r="D5" s="316"/>
      <c r="E5" s="557" t="s">
        <v>571</v>
      </c>
      <c r="F5" s="557"/>
      <c r="G5" s="557"/>
      <c r="H5" s="557"/>
      <c r="I5" s="557"/>
      <c r="J5" s="557"/>
      <c r="K5" s="557"/>
      <c r="L5" s="557"/>
      <c r="M5" s="557"/>
      <c r="N5" s="557"/>
      <c r="O5" s="558"/>
      <c r="P5" s="553" t="s">
        <v>25</v>
      </c>
      <c r="Q5" s="554"/>
      <c r="R5" s="316">
        <v>2020</v>
      </c>
      <c r="S5" s="351"/>
      <c r="T5" s="352"/>
      <c r="V5" s="320"/>
    </row>
    <row r="6" spans="1:26" s="253" customFormat="1" ht="33" customHeight="1" x14ac:dyDescent="0.25">
      <c r="A6" s="252"/>
      <c r="B6" s="553" t="s">
        <v>1</v>
      </c>
      <c r="C6" s="554"/>
      <c r="D6" s="319"/>
      <c r="E6" s="589" t="s">
        <v>598</v>
      </c>
      <c r="F6" s="589"/>
      <c r="G6" s="589"/>
      <c r="H6" s="589"/>
      <c r="I6" s="589"/>
      <c r="J6" s="589"/>
      <c r="K6" s="589"/>
      <c r="L6" s="589"/>
      <c r="M6" s="589"/>
      <c r="N6" s="589"/>
      <c r="O6" s="589"/>
      <c r="P6" s="589"/>
      <c r="Q6" s="589"/>
      <c r="R6" s="589"/>
      <c r="S6" s="589"/>
      <c r="T6" s="590"/>
      <c r="V6" s="322"/>
    </row>
    <row r="7" spans="1:26" s="253" customFormat="1" ht="15" x14ac:dyDescent="0.25">
      <c r="A7" s="252"/>
      <c r="B7" s="255"/>
      <c r="C7" s="255"/>
      <c r="I7" s="254"/>
      <c r="J7" s="256"/>
      <c r="K7" s="256"/>
      <c r="P7" s="254"/>
      <c r="Q7" s="254"/>
      <c r="V7" s="254"/>
    </row>
    <row r="8" spans="1:26" s="258" customFormat="1" ht="30" customHeight="1" x14ac:dyDescent="0.25">
      <c r="A8" s="257"/>
      <c r="B8" s="546" t="s">
        <v>2</v>
      </c>
      <c r="C8" s="546" t="s">
        <v>3</v>
      </c>
      <c r="D8" s="546" t="s">
        <v>4</v>
      </c>
      <c r="E8" s="546" t="s">
        <v>5</v>
      </c>
      <c r="F8" s="549" t="s">
        <v>28</v>
      </c>
      <c r="G8" s="546" t="s">
        <v>213</v>
      </c>
      <c r="H8" s="546"/>
      <c r="I8" s="547" t="s">
        <v>24</v>
      </c>
      <c r="J8" s="542" t="s">
        <v>11</v>
      </c>
      <c r="K8" s="544" t="s">
        <v>35</v>
      </c>
      <c r="L8" s="545"/>
      <c r="M8" s="562" t="s">
        <v>211</v>
      </c>
      <c r="N8" s="546" t="s">
        <v>214</v>
      </c>
      <c r="O8" s="546"/>
      <c r="P8" s="547" t="s">
        <v>24</v>
      </c>
      <c r="Q8" s="549" t="s">
        <v>10</v>
      </c>
      <c r="R8" s="546" t="s">
        <v>8</v>
      </c>
      <c r="S8" s="550" t="s">
        <v>17</v>
      </c>
      <c r="T8" s="546" t="s">
        <v>231</v>
      </c>
      <c r="U8" s="542" t="s">
        <v>215</v>
      </c>
      <c r="V8" s="546" t="s">
        <v>9</v>
      </c>
      <c r="W8" s="566" t="s">
        <v>224</v>
      </c>
      <c r="X8" s="566"/>
      <c r="Y8" s="546" t="s">
        <v>623</v>
      </c>
      <c r="Z8" s="546"/>
    </row>
    <row r="9" spans="1:26" s="258" customFormat="1" ht="83.25" customHeight="1" x14ac:dyDescent="0.25">
      <c r="A9" s="257"/>
      <c r="B9" s="546"/>
      <c r="C9" s="546"/>
      <c r="D9" s="546"/>
      <c r="E9" s="546"/>
      <c r="F9" s="549"/>
      <c r="G9" s="282" t="s">
        <v>6</v>
      </c>
      <c r="H9" s="349" t="s">
        <v>7</v>
      </c>
      <c r="I9" s="548"/>
      <c r="J9" s="543"/>
      <c r="K9" s="348" t="s">
        <v>229</v>
      </c>
      <c r="L9" s="261" t="s">
        <v>230</v>
      </c>
      <c r="M9" s="563"/>
      <c r="N9" s="262" t="s">
        <v>6</v>
      </c>
      <c r="O9" s="263" t="s">
        <v>7</v>
      </c>
      <c r="P9" s="548"/>
      <c r="Q9" s="549"/>
      <c r="R9" s="546"/>
      <c r="S9" s="550"/>
      <c r="T9" s="546"/>
      <c r="U9" s="543"/>
      <c r="V9" s="546"/>
      <c r="W9" s="350" t="s">
        <v>206</v>
      </c>
      <c r="X9" s="350" t="s">
        <v>207</v>
      </c>
      <c r="Y9" s="418" t="s">
        <v>658</v>
      </c>
      <c r="Z9" s="418" t="s">
        <v>659</v>
      </c>
    </row>
    <row r="10" spans="1:26" s="253" customFormat="1" ht="134.25" customHeight="1" x14ac:dyDescent="0.25">
      <c r="A10" s="283">
        <v>1</v>
      </c>
      <c r="B10" s="329" t="s">
        <v>530</v>
      </c>
      <c r="C10" s="325" t="s">
        <v>531</v>
      </c>
      <c r="D10" s="329"/>
      <c r="E10" s="329" t="s">
        <v>532</v>
      </c>
      <c r="F10" s="267" t="s">
        <v>15</v>
      </c>
      <c r="G10" s="265">
        <v>5</v>
      </c>
      <c r="H10" s="265">
        <v>5</v>
      </c>
      <c r="I10" s="387" t="str">
        <f>INDEX([11]Listas!$L$4:$P$8,G10,H10)</f>
        <v>EXTREMA</v>
      </c>
      <c r="J10" s="327" t="s">
        <v>545</v>
      </c>
      <c r="K10" s="270" t="s">
        <v>226</v>
      </c>
      <c r="L10" s="270" t="s">
        <v>6</v>
      </c>
      <c r="M10" s="491">
        <v>85</v>
      </c>
      <c r="N10" s="265">
        <v>3</v>
      </c>
      <c r="O10" s="265">
        <v>5</v>
      </c>
      <c r="P10" s="387" t="str">
        <f>INDEX([11]Listas!$L$4:$P$8,N10,O10)</f>
        <v>EXTREMA</v>
      </c>
      <c r="Q10" s="270" t="s">
        <v>550</v>
      </c>
      <c r="R10" s="329" t="s">
        <v>551</v>
      </c>
      <c r="S10" s="331" t="s">
        <v>552</v>
      </c>
      <c r="T10" s="329" t="s">
        <v>553</v>
      </c>
      <c r="U10" s="329" t="s">
        <v>554</v>
      </c>
      <c r="V10" s="329" t="s">
        <v>555</v>
      </c>
      <c r="W10" s="273"/>
      <c r="X10" s="291"/>
      <c r="Y10" s="504">
        <f>51384000/155455090</f>
        <v>0.33053919302352852</v>
      </c>
      <c r="Z10" s="378">
        <f>13714058/26568811</f>
        <v>0.51617131078993339</v>
      </c>
    </row>
    <row r="11" spans="1:26" s="253" customFormat="1" ht="129.75" customHeight="1" x14ac:dyDescent="0.25">
      <c r="A11" s="283">
        <v>2</v>
      </c>
      <c r="B11" s="329" t="s">
        <v>533</v>
      </c>
      <c r="C11" s="325" t="s">
        <v>534</v>
      </c>
      <c r="D11" s="329"/>
      <c r="E11" s="329" t="s">
        <v>535</v>
      </c>
      <c r="F11" s="267" t="s">
        <v>15</v>
      </c>
      <c r="G11" s="265">
        <v>5</v>
      </c>
      <c r="H11" s="265">
        <v>4</v>
      </c>
      <c r="I11" s="387" t="str">
        <f>INDEX([11]Listas!$L$4:$P$8,G11,H11)</f>
        <v>EXTREMA</v>
      </c>
      <c r="J11" s="327" t="s">
        <v>546</v>
      </c>
      <c r="K11" s="270" t="s">
        <v>226</v>
      </c>
      <c r="L11" s="270" t="s">
        <v>6</v>
      </c>
      <c r="M11" s="491">
        <v>85</v>
      </c>
      <c r="N11" s="265">
        <v>4</v>
      </c>
      <c r="O11" s="265">
        <v>3</v>
      </c>
      <c r="P11" s="387" t="str">
        <f>INDEX([11]Listas!$L$4:$P$8,N11,O11)</f>
        <v>ALTA</v>
      </c>
      <c r="Q11" s="270" t="s">
        <v>556</v>
      </c>
      <c r="R11" s="329" t="s">
        <v>557</v>
      </c>
      <c r="S11" s="331" t="s">
        <v>552</v>
      </c>
      <c r="T11" s="329" t="s">
        <v>558</v>
      </c>
      <c r="U11" s="329" t="s">
        <v>559</v>
      </c>
      <c r="V11" s="329" t="s">
        <v>560</v>
      </c>
      <c r="W11" s="273"/>
      <c r="X11" s="291"/>
      <c r="Y11" s="409">
        <f>1126/10846</f>
        <v>0.10381707541950949</v>
      </c>
      <c r="Z11" s="378">
        <f>431/9650</f>
        <v>4.4663212435233163E-2</v>
      </c>
    </row>
    <row r="12" spans="1:26" s="253" customFormat="1" ht="181.5" customHeight="1" x14ac:dyDescent="0.25">
      <c r="A12" s="283">
        <v>3</v>
      </c>
      <c r="B12" s="353" t="s">
        <v>536</v>
      </c>
      <c r="C12" s="354" t="s">
        <v>537</v>
      </c>
      <c r="D12" s="353"/>
      <c r="E12" s="353" t="s">
        <v>538</v>
      </c>
      <c r="F12" s="267" t="s">
        <v>15</v>
      </c>
      <c r="G12" s="265">
        <v>3</v>
      </c>
      <c r="H12" s="265">
        <v>4</v>
      </c>
      <c r="I12" s="387" t="str">
        <f>INDEX([11]Listas!$L$4:$P$8,G12,H12)</f>
        <v>EXTREMA</v>
      </c>
      <c r="J12" s="327" t="s">
        <v>547</v>
      </c>
      <c r="K12" s="270" t="s">
        <v>228</v>
      </c>
      <c r="L12" s="270" t="s">
        <v>6</v>
      </c>
      <c r="M12" s="491">
        <v>85</v>
      </c>
      <c r="N12" s="265">
        <v>3</v>
      </c>
      <c r="O12" s="265">
        <v>4</v>
      </c>
      <c r="P12" s="387" t="str">
        <f>INDEX([11]Listas!$L$4:$P$8,N12,O12)</f>
        <v>EXTREMA</v>
      </c>
      <c r="Q12" s="270" t="s">
        <v>478</v>
      </c>
      <c r="R12" s="329" t="s">
        <v>561</v>
      </c>
      <c r="S12" s="331" t="s">
        <v>68</v>
      </c>
      <c r="T12" s="329" t="s">
        <v>562</v>
      </c>
      <c r="U12" s="329" t="s">
        <v>563</v>
      </c>
      <c r="V12" s="265" t="s">
        <v>564</v>
      </c>
      <c r="W12" s="273"/>
      <c r="X12" s="291"/>
      <c r="Y12" s="409">
        <f>1/5</f>
        <v>0.2</v>
      </c>
      <c r="Z12" s="378">
        <f>1/2</f>
        <v>0.5</v>
      </c>
    </row>
    <row r="13" spans="1:26" s="253" customFormat="1" ht="122.25" customHeight="1" x14ac:dyDescent="0.25">
      <c r="A13" s="283">
        <v>4</v>
      </c>
      <c r="B13" s="355" t="s">
        <v>539</v>
      </c>
      <c r="C13" s="356" t="s">
        <v>540</v>
      </c>
      <c r="D13" s="355"/>
      <c r="E13" s="355" t="s">
        <v>541</v>
      </c>
      <c r="F13" s="267" t="s">
        <v>15</v>
      </c>
      <c r="G13" s="265">
        <v>4</v>
      </c>
      <c r="H13" s="265">
        <v>4</v>
      </c>
      <c r="I13" s="387" t="str">
        <f>INDEX([11]Listas!$L$4:$P$8,G13,H13)</f>
        <v>EXTREMA</v>
      </c>
      <c r="J13" s="327" t="s">
        <v>548</v>
      </c>
      <c r="K13" s="270" t="s">
        <v>228</v>
      </c>
      <c r="L13" s="270" t="s">
        <v>6</v>
      </c>
      <c r="M13" s="491">
        <v>85</v>
      </c>
      <c r="N13" s="265">
        <v>3</v>
      </c>
      <c r="O13" s="265">
        <v>3</v>
      </c>
      <c r="P13" s="387" t="str">
        <f>INDEX([11]Listas!$L$4:$P$8,N13,O13)</f>
        <v>ALTA</v>
      </c>
      <c r="Q13" s="270" t="s">
        <v>478</v>
      </c>
      <c r="R13" s="329" t="s">
        <v>565</v>
      </c>
      <c r="S13" s="331" t="s">
        <v>566</v>
      </c>
      <c r="T13" s="329" t="s">
        <v>567</v>
      </c>
      <c r="U13" s="329" t="s">
        <v>568</v>
      </c>
      <c r="V13" s="265" t="s">
        <v>607</v>
      </c>
      <c r="W13" s="273"/>
      <c r="X13" s="291"/>
      <c r="Y13" s="409">
        <v>1</v>
      </c>
      <c r="Z13" s="409">
        <v>1</v>
      </c>
    </row>
    <row r="14" spans="1:26" s="253" customFormat="1" ht="91.5" customHeight="1" x14ac:dyDescent="0.25">
      <c r="A14" s="283">
        <v>5</v>
      </c>
      <c r="B14" s="329" t="s">
        <v>542</v>
      </c>
      <c r="C14" s="325" t="s">
        <v>543</v>
      </c>
      <c r="D14" s="329"/>
      <c r="E14" s="329" t="s">
        <v>544</v>
      </c>
      <c r="F14" s="267" t="s">
        <v>15</v>
      </c>
      <c r="G14" s="265">
        <v>4</v>
      </c>
      <c r="H14" s="265">
        <v>1</v>
      </c>
      <c r="I14" s="387" t="str">
        <f>INDEX([11]Listas!$L$4:$P$8,G14,H14)</f>
        <v>MODERADA</v>
      </c>
      <c r="J14" s="327" t="s">
        <v>549</v>
      </c>
      <c r="K14" s="270" t="s">
        <v>228</v>
      </c>
      <c r="L14" s="270" t="s">
        <v>6</v>
      </c>
      <c r="M14" s="491">
        <v>85</v>
      </c>
      <c r="N14" s="265">
        <v>2</v>
      </c>
      <c r="O14" s="265">
        <v>1</v>
      </c>
      <c r="P14" s="387" t="str">
        <f>INDEX([11]Listas!$L$4:$P$8,N14,O14)</f>
        <v>BAJA</v>
      </c>
      <c r="Q14" s="270" t="s">
        <v>478</v>
      </c>
      <c r="R14" s="329" t="s">
        <v>569</v>
      </c>
      <c r="S14" s="331" t="s">
        <v>566</v>
      </c>
      <c r="T14" s="329" t="s">
        <v>567</v>
      </c>
      <c r="U14" s="329" t="s">
        <v>568</v>
      </c>
      <c r="V14" s="265" t="s">
        <v>570</v>
      </c>
      <c r="W14" s="273"/>
      <c r="X14" s="273"/>
      <c r="Y14" s="378">
        <f>276/297*100%</f>
        <v>0.92929292929292928</v>
      </c>
      <c r="Z14" s="378">
        <f>430/455</f>
        <v>0.94505494505494503</v>
      </c>
    </row>
    <row r="15" spans="1:26" ht="14.25" x14ac:dyDescent="0.2">
      <c r="B15" s="6"/>
      <c r="C15" s="7"/>
      <c r="D15" s="292"/>
      <c r="E15" s="9"/>
      <c r="F15" s="9"/>
      <c r="G15" s="9"/>
      <c r="H15" s="9"/>
      <c r="I15" s="10"/>
      <c r="J15" s="19"/>
      <c r="K15" s="19"/>
      <c r="L15" s="9"/>
      <c r="M15" s="11"/>
      <c r="V15" s="426"/>
      <c r="W15" s="9"/>
      <c r="X15" s="9"/>
      <c r="Y15" s="416"/>
      <c r="Z15" s="9"/>
    </row>
    <row r="16" spans="1:26" x14ac:dyDescent="0.2">
      <c r="B16" s="12"/>
      <c r="C16" s="12"/>
      <c r="D16" s="12"/>
      <c r="E16" s="12"/>
      <c r="F16" s="12"/>
      <c r="G16" s="569" t="s">
        <v>97</v>
      </c>
      <c r="H16" s="570"/>
      <c r="I16" s="36">
        <f>COUNTIF(I10:I14,"BAJA")</f>
        <v>0</v>
      </c>
      <c r="J16" s="19"/>
      <c r="K16" s="19"/>
      <c r="L16" s="9"/>
      <c r="M16" s="11"/>
      <c r="N16" s="541" t="s">
        <v>97</v>
      </c>
      <c r="O16" s="541"/>
      <c r="P16" s="36">
        <f>COUNTIF(P10:P14,"BAJA")</f>
        <v>1</v>
      </c>
    </row>
    <row r="17" spans="2:22" x14ac:dyDescent="0.2">
      <c r="B17" s="571"/>
      <c r="C17" s="571"/>
      <c r="D17" s="571"/>
      <c r="E17" s="571"/>
      <c r="F17" s="571"/>
      <c r="G17" s="541" t="s">
        <v>99</v>
      </c>
      <c r="H17" s="541"/>
      <c r="I17" s="36">
        <f>COUNTIF(I10:I14,"MODERADA")</f>
        <v>1</v>
      </c>
      <c r="J17" s="19"/>
      <c r="K17" s="19"/>
      <c r="L17" s="9"/>
      <c r="M17" s="12"/>
      <c r="N17" s="541" t="s">
        <v>99</v>
      </c>
      <c r="O17" s="541"/>
      <c r="P17" s="36">
        <f>COUNTIF(P10:P14,"MODERADA")</f>
        <v>0</v>
      </c>
    </row>
    <row r="18" spans="2:22" x14ac:dyDescent="0.2">
      <c r="B18" s="9"/>
      <c r="C18" s="9"/>
      <c r="D18" s="9"/>
      <c r="E18" s="9"/>
      <c r="F18" s="9"/>
      <c r="G18" s="541" t="s">
        <v>98</v>
      </c>
      <c r="H18" s="541"/>
      <c r="I18" s="36">
        <f>COUNTIF(I10:I14,"ALTA")</f>
        <v>0</v>
      </c>
      <c r="J18" s="19"/>
      <c r="K18" s="19"/>
      <c r="L18" s="9"/>
      <c r="M18" s="9"/>
      <c r="N18" s="541" t="s">
        <v>98</v>
      </c>
      <c r="O18" s="541"/>
      <c r="P18" s="36">
        <f>COUNTIF(P10:P14,"ALTA")</f>
        <v>2</v>
      </c>
      <c r="Q18" s="229"/>
      <c r="V18" s="229"/>
    </row>
    <row r="19" spans="2:22" ht="15.75" x14ac:dyDescent="0.2">
      <c r="B19" s="341"/>
      <c r="C19" s="9"/>
      <c r="D19" s="9"/>
      <c r="E19" s="340"/>
      <c r="F19" s="9"/>
      <c r="G19" s="541" t="s">
        <v>100</v>
      </c>
      <c r="H19" s="541"/>
      <c r="I19" s="36">
        <f>COUNTIF(I10:I14,"EXTREMA")</f>
        <v>4</v>
      </c>
      <c r="J19" s="19"/>
      <c r="K19" s="19"/>
      <c r="L19" s="9"/>
      <c r="M19" s="9"/>
      <c r="N19" s="541" t="s">
        <v>100</v>
      </c>
      <c r="O19" s="541"/>
      <c r="P19" s="36">
        <f>COUNTIF(P10:P14,"EXTREMA")</f>
        <v>2</v>
      </c>
      <c r="Q19" s="229"/>
      <c r="V19" s="229"/>
    </row>
    <row r="20" spans="2:22" x14ac:dyDescent="0.2">
      <c r="B20" s="9"/>
      <c r="C20" s="9"/>
      <c r="D20" s="9"/>
      <c r="E20" s="9"/>
      <c r="G20" s="9"/>
      <c r="H20" s="9"/>
      <c r="I20" s="10"/>
      <c r="J20" s="19"/>
      <c r="K20" s="19"/>
      <c r="L20" s="9"/>
      <c r="M20" s="9" t="s">
        <v>21</v>
      </c>
      <c r="P20" s="229"/>
      <c r="Q20" s="229"/>
      <c r="V20" s="229"/>
    </row>
    <row r="21" spans="2:22" ht="15" x14ac:dyDescent="0.2">
      <c r="B21" s="367"/>
      <c r="C21" s="368"/>
      <c r="D21" s="362"/>
      <c r="E21" s="233"/>
      <c r="F21" s="233"/>
      <c r="G21" s="233"/>
      <c r="H21" s="9"/>
      <c r="I21" s="10"/>
      <c r="J21" s="19"/>
      <c r="K21" s="19"/>
      <c r="L21" s="9"/>
      <c r="M21" s="9"/>
      <c r="P21" s="229"/>
      <c r="Q21" s="229"/>
      <c r="V21" s="229"/>
    </row>
    <row r="22" spans="2:22" ht="15" x14ac:dyDescent="0.2">
      <c r="B22" s="363" t="s">
        <v>715</v>
      </c>
      <c r="C22" s="366"/>
      <c r="D22" s="364"/>
      <c r="E22" s="365" t="s">
        <v>654</v>
      </c>
      <c r="F22" s="365"/>
      <c r="G22" s="365"/>
      <c r="H22" s="9"/>
      <c r="I22" s="10"/>
      <c r="P22" s="229"/>
      <c r="Q22" s="229"/>
      <c r="V22" s="229"/>
    </row>
    <row r="23" spans="2:22" ht="15" x14ac:dyDescent="0.2">
      <c r="B23" s="232" t="s">
        <v>244</v>
      </c>
      <c r="C23" s="171"/>
      <c r="D23" s="172"/>
      <c r="E23" s="232" t="s">
        <v>245</v>
      </c>
      <c r="F23" s="171"/>
      <c r="G23" s="14"/>
      <c r="H23" s="9"/>
      <c r="I23" s="10"/>
      <c r="P23" s="229"/>
      <c r="Q23" s="229"/>
      <c r="V23" s="229"/>
    </row>
    <row r="24" spans="2:22" x14ac:dyDescent="0.2">
      <c r="D24" s="9"/>
      <c r="H24" s="9"/>
      <c r="I24" s="10"/>
      <c r="P24" s="229"/>
      <c r="Q24" s="229"/>
      <c r="V24" s="229"/>
    </row>
    <row r="25" spans="2:22" x14ac:dyDescent="0.2">
      <c r="D25" s="9"/>
      <c r="H25" s="9"/>
      <c r="I25" s="10"/>
      <c r="P25" s="229"/>
      <c r="Q25" s="229"/>
      <c r="V25" s="229"/>
    </row>
    <row r="26" spans="2:22" x14ac:dyDescent="0.2">
      <c r="D26" s="9"/>
      <c r="H26" s="9"/>
      <c r="I26" s="10"/>
      <c r="P26" s="229"/>
      <c r="Q26" s="229"/>
      <c r="V26" s="229"/>
    </row>
    <row r="27" spans="2:22" x14ac:dyDescent="0.2">
      <c r="D27" s="9"/>
      <c r="H27" s="9"/>
      <c r="I27" s="10"/>
      <c r="P27" s="229"/>
      <c r="Q27" s="229"/>
      <c r="V27" s="229"/>
    </row>
    <row r="28" spans="2:22" x14ac:dyDescent="0.2">
      <c r="D28" s="9"/>
      <c r="H28" s="9"/>
      <c r="I28" s="10"/>
      <c r="P28" s="229"/>
      <c r="Q28" s="229"/>
      <c r="V28" s="229"/>
    </row>
    <row r="29" spans="2:22" x14ac:dyDescent="0.2">
      <c r="D29" s="9"/>
      <c r="H29" s="9"/>
      <c r="I29" s="10"/>
      <c r="P29" s="229"/>
      <c r="Q29" s="229"/>
      <c r="V29" s="229"/>
    </row>
    <row r="30" spans="2:22" x14ac:dyDescent="0.2">
      <c r="D30" s="9"/>
      <c r="P30" s="229"/>
      <c r="Q30" s="229"/>
      <c r="V30" s="229"/>
    </row>
    <row r="31" spans="2:22" x14ac:dyDescent="0.2">
      <c r="D31" s="9"/>
      <c r="P31" s="229"/>
      <c r="Q31" s="229"/>
      <c r="V31" s="229"/>
    </row>
    <row r="32" spans="2:22" x14ac:dyDescent="0.2">
      <c r="D32" s="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row r="54" spans="4:22" x14ac:dyDescent="0.2">
      <c r="D54" s="9"/>
      <c r="I54" s="229"/>
      <c r="J54" s="229"/>
      <c r="K54" s="229"/>
      <c r="P54" s="229"/>
      <c r="Q54" s="229"/>
      <c r="V54" s="229"/>
    </row>
    <row r="55" spans="4:22" x14ac:dyDescent="0.2">
      <c r="D55" s="9"/>
      <c r="I55" s="229"/>
      <c r="J55" s="229"/>
      <c r="K55" s="229"/>
      <c r="P55" s="229"/>
      <c r="Q55" s="229"/>
      <c r="V55" s="229"/>
    </row>
    <row r="56" spans="4:22" x14ac:dyDescent="0.2">
      <c r="D56" s="9"/>
      <c r="I56" s="229"/>
      <c r="J56" s="229"/>
      <c r="K56" s="229"/>
      <c r="P56" s="229"/>
      <c r="Q56" s="229"/>
      <c r="V56" s="229"/>
    </row>
  </sheetData>
  <mergeCells count="36">
    <mergeCell ref="Y8:Z8"/>
    <mergeCell ref="B6:C6"/>
    <mergeCell ref="E6:T6"/>
    <mergeCell ref="B1:C3"/>
    <mergeCell ref="D1:U3"/>
    <mergeCell ref="B5:C5"/>
    <mergeCell ref="E5:O5"/>
    <mergeCell ref="P5:Q5"/>
    <mergeCell ref="B17:F17"/>
    <mergeCell ref="G17:H17"/>
    <mergeCell ref="N17:O17"/>
    <mergeCell ref="Q8:Q9"/>
    <mergeCell ref="R8:R9"/>
    <mergeCell ref="I8:I9"/>
    <mergeCell ref="J8:J9"/>
    <mergeCell ref="K8:L8"/>
    <mergeCell ref="M8:M9"/>
    <mergeCell ref="N8:O8"/>
    <mergeCell ref="P8:P9"/>
    <mergeCell ref="B8:B9"/>
    <mergeCell ref="C8:C9"/>
    <mergeCell ref="D8:D9"/>
    <mergeCell ref="E8:E9"/>
    <mergeCell ref="F8:F9"/>
    <mergeCell ref="G18:H18"/>
    <mergeCell ref="N18:O18"/>
    <mergeCell ref="G19:H19"/>
    <mergeCell ref="N19:O19"/>
    <mergeCell ref="W8:X8"/>
    <mergeCell ref="G16:H16"/>
    <mergeCell ref="N16:O16"/>
    <mergeCell ref="S8:S9"/>
    <mergeCell ref="T8:T9"/>
    <mergeCell ref="U8:U9"/>
    <mergeCell ref="V8:V9"/>
    <mergeCell ref="G8:H8"/>
  </mergeCells>
  <conditionalFormatting sqref="I7 P7 I15:I1048576 P15:P1048576">
    <cfRule type="cellIs" dxfId="214" priority="91" operator="equal">
      <formula>"BAJA"</formula>
    </cfRule>
  </conditionalFormatting>
  <conditionalFormatting sqref="I7 P7 I15:I1048576 P15:P1048576">
    <cfRule type="cellIs" dxfId="213" priority="88" operator="equal">
      <formula>"EXTREMA"</formula>
    </cfRule>
    <cfRule type="cellIs" dxfId="212" priority="89" operator="equal">
      <formula>"ALTA"</formula>
    </cfRule>
    <cfRule type="cellIs" dxfId="211" priority="90" operator="equal">
      <formula>"MODERADA"</formula>
    </cfRule>
  </conditionalFormatting>
  <conditionalFormatting sqref="F15:G20 F7:G7 N7:O7 F24:G1048576 N15:O1048576">
    <cfRule type="colorScale" priority="87">
      <colorScale>
        <cfvo type="num" val="1"/>
        <cfvo type="num" val="3"/>
        <cfvo type="num" val="5"/>
        <color theme="6" tint="-0.499984740745262"/>
        <color rgb="FFFFFF00"/>
        <color rgb="FFC00000"/>
      </colorScale>
    </cfRule>
  </conditionalFormatting>
  <conditionalFormatting sqref="I16:I19">
    <cfRule type="cellIs" dxfId="210" priority="86" operator="equal">
      <formula>"BAJA"</formula>
    </cfRule>
  </conditionalFormatting>
  <conditionalFormatting sqref="I16:I19">
    <cfRule type="cellIs" dxfId="209" priority="83" operator="equal">
      <formula>"EXTREMA"</formula>
    </cfRule>
    <cfRule type="cellIs" dxfId="208" priority="84" operator="equal">
      <formula>"ALTA"</formula>
    </cfRule>
    <cfRule type="cellIs" dxfId="207" priority="85" operator="equal">
      <formula>"MODERADA"</formula>
    </cfRule>
  </conditionalFormatting>
  <conditionalFormatting sqref="G16:G19">
    <cfRule type="colorScale" priority="82">
      <colorScale>
        <cfvo type="num" val="1"/>
        <cfvo type="num" val="3"/>
        <cfvo type="num" val="5"/>
        <color theme="6" tint="-0.499984740745262"/>
        <color rgb="FFFFFF00"/>
        <color rgb="FFC00000"/>
      </colorScale>
    </cfRule>
  </conditionalFormatting>
  <conditionalFormatting sqref="I16:I19">
    <cfRule type="cellIs" dxfId="206" priority="81" operator="equal">
      <formula>"BAJA"</formula>
    </cfRule>
  </conditionalFormatting>
  <conditionalFormatting sqref="I16:I19">
    <cfRule type="cellIs" dxfId="205" priority="78" operator="equal">
      <formula>"EXTREMA"</formula>
    </cfRule>
    <cfRule type="cellIs" dxfId="204" priority="79" operator="equal">
      <formula>"ALTA"</formula>
    </cfRule>
    <cfRule type="cellIs" dxfId="203" priority="80" operator="equal">
      <formula>"MODERADA"</formula>
    </cfRule>
  </conditionalFormatting>
  <conditionalFormatting sqref="G16:G19">
    <cfRule type="colorScale" priority="77">
      <colorScale>
        <cfvo type="num" val="1"/>
        <cfvo type="num" val="3"/>
        <cfvo type="num" val="5"/>
        <color theme="6" tint="-0.499984740745262"/>
        <color rgb="FFFFFF00"/>
        <color rgb="FFC00000"/>
      </colorScale>
    </cfRule>
  </conditionalFormatting>
  <conditionalFormatting sqref="I16:I19">
    <cfRule type="cellIs" dxfId="202" priority="76" operator="equal">
      <formula>"BAJA"</formula>
    </cfRule>
  </conditionalFormatting>
  <conditionalFormatting sqref="I16:I19">
    <cfRule type="cellIs" dxfId="201" priority="73" operator="equal">
      <formula>"EXTREMA"</formula>
    </cfRule>
    <cfRule type="cellIs" dxfId="200" priority="74" operator="equal">
      <formula>"ALTA"</formula>
    </cfRule>
    <cfRule type="cellIs" dxfId="199" priority="75" operator="equal">
      <formula>"MODERADA"</formula>
    </cfRule>
  </conditionalFormatting>
  <conditionalFormatting sqref="G16:G19">
    <cfRule type="colorScale" priority="72">
      <colorScale>
        <cfvo type="num" val="1"/>
        <cfvo type="num" val="3"/>
        <cfvo type="num" val="5"/>
        <color theme="6" tint="-0.499984740745262"/>
        <color rgb="FFFFFF00"/>
        <color rgb="FFC00000"/>
      </colorScale>
    </cfRule>
  </conditionalFormatting>
  <conditionalFormatting sqref="I16:I19">
    <cfRule type="cellIs" dxfId="198" priority="71" operator="equal">
      <formula>"BAJA"</formula>
    </cfRule>
  </conditionalFormatting>
  <conditionalFormatting sqref="I16:I19">
    <cfRule type="cellIs" dxfId="197" priority="68" operator="equal">
      <formula>"EXTREMA"</formula>
    </cfRule>
    <cfRule type="cellIs" dxfId="196" priority="69" operator="equal">
      <formula>"ALTA"</formula>
    </cfRule>
    <cfRule type="cellIs" dxfId="195" priority="70" operator="equal">
      <formula>"MODERADA"</formula>
    </cfRule>
  </conditionalFormatting>
  <conditionalFormatting sqref="G16:G19">
    <cfRule type="colorScale" priority="67">
      <colorScale>
        <cfvo type="num" val="1"/>
        <cfvo type="num" val="3"/>
        <cfvo type="num" val="5"/>
        <color theme="6" tint="-0.499984740745262"/>
        <color rgb="FFFFFF00"/>
        <color rgb="FFC00000"/>
      </colorScale>
    </cfRule>
  </conditionalFormatting>
  <conditionalFormatting sqref="I16:I19">
    <cfRule type="cellIs" dxfId="194" priority="66" operator="equal">
      <formula>"BAJA"</formula>
    </cfRule>
  </conditionalFormatting>
  <conditionalFormatting sqref="I16:I19">
    <cfRule type="cellIs" dxfId="193" priority="63" operator="equal">
      <formula>"EXTREMA"</formula>
    </cfRule>
    <cfRule type="cellIs" dxfId="192" priority="64" operator="equal">
      <formula>"ALTA"</formula>
    </cfRule>
    <cfRule type="cellIs" dxfId="191" priority="65" operator="equal">
      <formula>"MODERADA"</formula>
    </cfRule>
  </conditionalFormatting>
  <conditionalFormatting sqref="G16:G19">
    <cfRule type="colorScale" priority="62">
      <colorScale>
        <cfvo type="num" val="1"/>
        <cfvo type="num" val="3"/>
        <cfvo type="num" val="5"/>
        <color theme="6" tint="-0.499984740745262"/>
        <color rgb="FFFFFF00"/>
        <color rgb="FFC00000"/>
      </colorScale>
    </cfRule>
  </conditionalFormatting>
  <conditionalFormatting sqref="I16:I19">
    <cfRule type="cellIs" dxfId="190" priority="61" operator="equal">
      <formula>"BAJA"</formula>
    </cfRule>
  </conditionalFormatting>
  <conditionalFormatting sqref="I16:I19">
    <cfRule type="cellIs" dxfId="189" priority="58" operator="equal">
      <formula>"EXTREMA"</formula>
    </cfRule>
    <cfRule type="cellIs" dxfId="188" priority="59" operator="equal">
      <formula>"ALTA"</formula>
    </cfRule>
    <cfRule type="cellIs" dxfId="187" priority="60" operator="equal">
      <formula>"MODERADA"</formula>
    </cfRule>
  </conditionalFormatting>
  <conditionalFormatting sqref="P16:P19">
    <cfRule type="cellIs" dxfId="186" priority="57" operator="equal">
      <formula>"BAJA"</formula>
    </cfRule>
  </conditionalFormatting>
  <conditionalFormatting sqref="P16:P19">
    <cfRule type="cellIs" dxfId="185" priority="54" operator="equal">
      <formula>"EXTREMA"</formula>
    </cfRule>
    <cfRule type="cellIs" dxfId="184" priority="55" operator="equal">
      <formula>"ALTA"</formula>
    </cfRule>
    <cfRule type="cellIs" dxfId="183" priority="56" operator="equal">
      <formula>"MODERADA"</formula>
    </cfRule>
  </conditionalFormatting>
  <conditionalFormatting sqref="N16:N19">
    <cfRule type="colorScale" priority="53">
      <colorScale>
        <cfvo type="num" val="1"/>
        <cfvo type="num" val="3"/>
        <cfvo type="num" val="5"/>
        <color theme="6" tint="-0.499984740745262"/>
        <color rgb="FFFFFF00"/>
        <color rgb="FFC00000"/>
      </colorScale>
    </cfRule>
  </conditionalFormatting>
  <conditionalFormatting sqref="P16:P19">
    <cfRule type="cellIs" dxfId="182" priority="52" operator="equal">
      <formula>"BAJA"</formula>
    </cfRule>
  </conditionalFormatting>
  <conditionalFormatting sqref="P16:P19">
    <cfRule type="cellIs" dxfId="181" priority="49" operator="equal">
      <formula>"EXTREMA"</formula>
    </cfRule>
    <cfRule type="cellIs" dxfId="180" priority="50" operator="equal">
      <formula>"ALTA"</formula>
    </cfRule>
    <cfRule type="cellIs" dxfId="179" priority="51" operator="equal">
      <formula>"MODERADA"</formula>
    </cfRule>
  </conditionalFormatting>
  <conditionalFormatting sqref="N16:N19">
    <cfRule type="colorScale" priority="48">
      <colorScale>
        <cfvo type="num" val="1"/>
        <cfvo type="num" val="3"/>
        <cfvo type="num" val="5"/>
        <color theme="6" tint="-0.499984740745262"/>
        <color rgb="FFFFFF00"/>
        <color rgb="FFC00000"/>
      </colorScale>
    </cfRule>
  </conditionalFormatting>
  <conditionalFormatting sqref="P16:P19">
    <cfRule type="cellIs" dxfId="178" priority="47" operator="equal">
      <formula>"BAJA"</formula>
    </cfRule>
  </conditionalFormatting>
  <conditionalFormatting sqref="P16:P19">
    <cfRule type="cellIs" dxfId="177" priority="44" operator="equal">
      <formula>"EXTREMA"</formula>
    </cfRule>
    <cfRule type="cellIs" dxfId="176" priority="45" operator="equal">
      <formula>"ALTA"</formula>
    </cfRule>
    <cfRule type="cellIs" dxfId="175" priority="46" operator="equal">
      <formula>"MODERADA"</formula>
    </cfRule>
  </conditionalFormatting>
  <conditionalFormatting sqref="N16:N19">
    <cfRule type="colorScale" priority="43">
      <colorScale>
        <cfvo type="num" val="1"/>
        <cfvo type="num" val="3"/>
        <cfvo type="num" val="5"/>
        <color theme="6" tint="-0.499984740745262"/>
        <color rgb="FFFFFF00"/>
        <color rgb="FFC00000"/>
      </colorScale>
    </cfRule>
  </conditionalFormatting>
  <conditionalFormatting sqref="P16:P19">
    <cfRule type="cellIs" dxfId="174" priority="42" operator="equal">
      <formula>"BAJA"</formula>
    </cfRule>
  </conditionalFormatting>
  <conditionalFormatting sqref="P16:P19">
    <cfRule type="cellIs" dxfId="173" priority="39" operator="equal">
      <formula>"EXTREMA"</formula>
    </cfRule>
    <cfRule type="cellIs" dxfId="172" priority="40" operator="equal">
      <formula>"ALTA"</formula>
    </cfRule>
    <cfRule type="cellIs" dxfId="171" priority="41" operator="equal">
      <formula>"MODERADA"</formula>
    </cfRule>
  </conditionalFormatting>
  <conditionalFormatting sqref="N16:N19">
    <cfRule type="colorScale" priority="38">
      <colorScale>
        <cfvo type="num" val="1"/>
        <cfvo type="num" val="3"/>
        <cfvo type="num" val="5"/>
        <color theme="6" tint="-0.499984740745262"/>
        <color rgb="FFFFFF00"/>
        <color rgb="FFC00000"/>
      </colorScale>
    </cfRule>
  </conditionalFormatting>
  <conditionalFormatting sqref="P16:P19">
    <cfRule type="cellIs" dxfId="170" priority="37" operator="equal">
      <formula>"BAJA"</formula>
    </cfRule>
  </conditionalFormatting>
  <conditionalFormatting sqref="P16:P19">
    <cfRule type="cellIs" dxfId="169" priority="34" operator="equal">
      <formula>"EXTREMA"</formula>
    </cfRule>
    <cfRule type="cellIs" dxfId="168" priority="35" operator="equal">
      <formula>"ALTA"</formula>
    </cfRule>
    <cfRule type="cellIs" dxfId="167" priority="36" operator="equal">
      <formula>"MODERADA"</formula>
    </cfRule>
  </conditionalFormatting>
  <conditionalFormatting sqref="N16:N19">
    <cfRule type="colorScale" priority="33">
      <colorScale>
        <cfvo type="num" val="1"/>
        <cfvo type="num" val="3"/>
        <cfvo type="num" val="5"/>
        <color theme="6" tint="-0.499984740745262"/>
        <color rgb="FFFFFF00"/>
        <color rgb="FFC00000"/>
      </colorScale>
    </cfRule>
  </conditionalFormatting>
  <conditionalFormatting sqref="P16:P19">
    <cfRule type="cellIs" dxfId="166" priority="32" operator="equal">
      <formula>"BAJA"</formula>
    </cfRule>
  </conditionalFormatting>
  <conditionalFormatting sqref="P16:P19">
    <cfRule type="cellIs" dxfId="165" priority="29" operator="equal">
      <formula>"EXTREMA"</formula>
    </cfRule>
    <cfRule type="cellIs" dxfId="164" priority="30" operator="equal">
      <formula>"ALTA"</formula>
    </cfRule>
    <cfRule type="cellIs" dxfId="163" priority="31" operator="equal">
      <formula>"MODERADA"</formula>
    </cfRule>
  </conditionalFormatting>
  <conditionalFormatting sqref="I8:I9 P8:P9">
    <cfRule type="cellIs" dxfId="162" priority="27" operator="equal">
      <formula>"BAJA"</formula>
    </cfRule>
  </conditionalFormatting>
  <conditionalFormatting sqref="I8:I9 P8:P9">
    <cfRule type="cellIs" dxfId="161" priority="24" operator="equal">
      <formula>"EXTREMA"</formula>
    </cfRule>
    <cfRule type="cellIs" dxfId="160" priority="25" operator="equal">
      <formula>"ALTA"</formula>
    </cfRule>
    <cfRule type="cellIs" dxfId="159" priority="26" operator="equal">
      <formula>"MODERADA"</formula>
    </cfRule>
  </conditionalFormatting>
  <conditionalFormatting sqref="G8:H9 N8:O9">
    <cfRule type="colorScale" priority="23">
      <colorScale>
        <cfvo type="num" val="1"/>
        <cfvo type="num" val="3"/>
        <cfvo type="num" val="5"/>
        <color theme="6" tint="-0.499984740745262"/>
        <color rgb="FFFFFF00"/>
        <color rgb="FFC00000"/>
      </colorScale>
    </cfRule>
  </conditionalFormatting>
  <conditionalFormatting sqref="F4:G4 N4:O4">
    <cfRule type="colorScale" priority="22">
      <colorScale>
        <cfvo type="num" val="1"/>
        <cfvo type="num" val="3"/>
        <cfvo type="num" val="5"/>
        <color theme="6" tint="-0.499984740745262"/>
        <color rgb="FFFFFF00"/>
        <color rgb="FFC00000"/>
      </colorScale>
    </cfRule>
  </conditionalFormatting>
  <conditionalFormatting sqref="G10:H14">
    <cfRule type="colorScale" priority="11">
      <colorScale>
        <cfvo type="num" val="1"/>
        <cfvo type="num" val="3"/>
        <cfvo type="num" val="5"/>
        <color theme="6" tint="-0.499984740745262"/>
        <color rgb="FFFFFF00"/>
        <color rgb="FFC00000"/>
      </colorScale>
    </cfRule>
  </conditionalFormatting>
  <conditionalFormatting sqref="N10:O14">
    <cfRule type="colorScale" priority="10">
      <colorScale>
        <cfvo type="num" val="1"/>
        <cfvo type="num" val="3"/>
        <cfvo type="num" val="5"/>
        <color theme="6" tint="-0.499984740745262"/>
        <color rgb="FFFFFF00"/>
        <color rgb="FFC00000"/>
      </colorScale>
    </cfRule>
  </conditionalFormatting>
  <conditionalFormatting sqref="I10:I14">
    <cfRule type="cellIs" dxfId="158" priority="6" operator="equal">
      <formula>"EXTREMA"</formula>
    </cfRule>
    <cfRule type="cellIs" dxfId="157" priority="7" operator="equal">
      <formula>"ALTA"</formula>
    </cfRule>
    <cfRule type="cellIs" dxfId="156" priority="8" operator="equal">
      <formula>"MODERADA"</formula>
    </cfRule>
    <cfRule type="cellIs" dxfId="155" priority="9" operator="equal">
      <formula>"BAJA"</formula>
    </cfRule>
  </conditionalFormatting>
  <conditionalFormatting sqref="P10:P14">
    <cfRule type="cellIs" dxfId="154" priority="2" operator="equal">
      <formula>"EXTREMA"</formula>
    </cfRule>
    <cfRule type="cellIs" dxfId="153" priority="3" operator="equal">
      <formula>"ALTA"</formula>
    </cfRule>
    <cfRule type="cellIs" dxfId="152" priority="4" operator="equal">
      <formula>"MODERADA"</formula>
    </cfRule>
    <cfRule type="cellIs" dxfId="151" priority="5" operator="equal">
      <formula>"BAJA"</formula>
    </cfRule>
  </conditionalFormatting>
  <conditionalFormatting sqref="F21:G2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35433070866141736" bottom="0.35433070866141736" header="0.31496062992125984" footer="0.31496062992125984"/>
  <pageSetup paperSize="5" scale="50" fitToHeight="99"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C00-000000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F10:F14 K10:K14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autoPageBreaks="0"/>
  </sheetPr>
  <dimension ref="A1:Z55"/>
  <sheetViews>
    <sheetView topLeftCell="H1" zoomScale="80" zoomScaleNormal="80" workbookViewId="0">
      <selection activeCell="M12" sqref="M12"/>
    </sheetView>
  </sheetViews>
  <sheetFormatPr baseColWidth="10" defaultColWidth="11.42578125" defaultRowHeight="12" x14ac:dyDescent="0.2"/>
  <cols>
    <col min="1" max="1" width="4.7109375" style="229" customWidth="1"/>
    <col min="2" max="2" width="21.7109375" style="229" customWidth="1"/>
    <col min="3" max="3" width="28.42578125" style="229" customWidth="1"/>
    <col min="4" max="4" width="21.7109375" style="229" hidden="1" customWidth="1"/>
    <col min="5" max="5" width="25.14062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3.140625" style="229" customWidth="1"/>
    <col min="21" max="21" width="16.7109375" style="229" customWidth="1"/>
    <col min="22" max="22" width="16.7109375" style="18" customWidth="1"/>
    <col min="23" max="24" width="36.7109375" style="229" hidden="1" customWidth="1"/>
    <col min="25" max="25" width="19.140625" style="229" customWidth="1"/>
    <col min="26" max="26" width="16.28515625" style="229" customWidth="1"/>
    <col min="27" max="16384" width="11.42578125" style="229"/>
  </cols>
  <sheetData>
    <row r="1" spans="1:26" ht="24"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6" ht="24"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6" ht="24"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6"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321"/>
    </row>
    <row r="5" spans="1:26" s="253" customFormat="1" ht="24" customHeight="1" x14ac:dyDescent="0.25">
      <c r="A5" s="252"/>
      <c r="B5" s="553" t="s">
        <v>0</v>
      </c>
      <c r="C5" s="554"/>
      <c r="D5" s="316"/>
      <c r="E5" s="557" t="s">
        <v>337</v>
      </c>
      <c r="F5" s="557"/>
      <c r="G5" s="557"/>
      <c r="H5" s="557"/>
      <c r="I5" s="557"/>
      <c r="J5" s="557"/>
      <c r="K5" s="557"/>
      <c r="L5" s="557"/>
      <c r="M5" s="557"/>
      <c r="N5" s="557"/>
      <c r="O5" s="558"/>
      <c r="P5" s="553" t="s">
        <v>25</v>
      </c>
      <c r="Q5" s="554"/>
      <c r="R5" s="316">
        <v>2020</v>
      </c>
      <c r="S5" s="317"/>
      <c r="T5" s="318"/>
      <c r="V5" s="320"/>
    </row>
    <row r="6" spans="1:26" s="253" customFormat="1" ht="22.5" customHeight="1" x14ac:dyDescent="0.25">
      <c r="A6" s="252"/>
      <c r="B6" s="553" t="s">
        <v>1</v>
      </c>
      <c r="C6" s="554"/>
      <c r="D6" s="319"/>
      <c r="E6" s="559" t="s">
        <v>529</v>
      </c>
      <c r="F6" s="559"/>
      <c r="G6" s="559"/>
      <c r="H6" s="559"/>
      <c r="I6" s="559"/>
      <c r="J6" s="559"/>
      <c r="K6" s="559"/>
      <c r="L6" s="559"/>
      <c r="M6" s="559"/>
      <c r="N6" s="559"/>
      <c r="O6" s="559"/>
      <c r="P6" s="559"/>
      <c r="Q6" s="559"/>
      <c r="R6" s="559"/>
      <c r="S6" s="559"/>
      <c r="T6" s="560"/>
      <c r="V6" s="322"/>
    </row>
    <row r="7" spans="1:26" s="253" customFormat="1" ht="15" x14ac:dyDescent="0.25">
      <c r="A7" s="252"/>
      <c r="B7" s="255"/>
      <c r="C7" s="255"/>
      <c r="I7" s="254"/>
      <c r="J7" s="256"/>
      <c r="K7" s="256"/>
      <c r="P7" s="254"/>
      <c r="Q7" s="254"/>
      <c r="V7" s="254"/>
    </row>
    <row r="8" spans="1:26" s="258" customFormat="1" ht="30" customHeight="1" x14ac:dyDescent="0.25">
      <c r="A8" s="257"/>
      <c r="B8" s="546" t="s">
        <v>2</v>
      </c>
      <c r="C8" s="546" t="s">
        <v>3</v>
      </c>
      <c r="D8" s="546" t="s">
        <v>4</v>
      </c>
      <c r="E8" s="546" t="s">
        <v>5</v>
      </c>
      <c r="F8" s="549" t="s">
        <v>28</v>
      </c>
      <c r="G8" s="546" t="s">
        <v>213</v>
      </c>
      <c r="H8" s="546"/>
      <c r="I8" s="547" t="s">
        <v>24</v>
      </c>
      <c r="J8" s="542" t="s">
        <v>11</v>
      </c>
      <c r="K8" s="544" t="s">
        <v>35</v>
      </c>
      <c r="L8" s="545"/>
      <c r="M8" s="562" t="s">
        <v>211</v>
      </c>
      <c r="N8" s="546" t="s">
        <v>214</v>
      </c>
      <c r="O8" s="546"/>
      <c r="P8" s="547" t="s">
        <v>24</v>
      </c>
      <c r="Q8" s="549" t="s">
        <v>10</v>
      </c>
      <c r="R8" s="546" t="s">
        <v>8</v>
      </c>
      <c r="S8" s="550" t="s">
        <v>17</v>
      </c>
      <c r="T8" s="546" t="s">
        <v>231</v>
      </c>
      <c r="U8" s="542" t="s">
        <v>215</v>
      </c>
      <c r="V8" s="546" t="s">
        <v>9</v>
      </c>
      <c r="W8" s="566" t="s">
        <v>216</v>
      </c>
      <c r="X8" s="566"/>
      <c r="Y8" s="546" t="s">
        <v>623</v>
      </c>
      <c r="Z8" s="546"/>
    </row>
    <row r="9" spans="1:26" s="258" customFormat="1" ht="96.75" customHeight="1" x14ac:dyDescent="0.25">
      <c r="A9" s="257"/>
      <c r="B9" s="546"/>
      <c r="C9" s="546"/>
      <c r="D9" s="546"/>
      <c r="E9" s="546"/>
      <c r="F9" s="549"/>
      <c r="G9" s="282" t="s">
        <v>6</v>
      </c>
      <c r="H9" s="374" t="s">
        <v>7</v>
      </c>
      <c r="I9" s="548"/>
      <c r="J9" s="543"/>
      <c r="K9" s="373" t="s">
        <v>229</v>
      </c>
      <c r="L9" s="261" t="s">
        <v>230</v>
      </c>
      <c r="M9" s="563"/>
      <c r="N9" s="262" t="s">
        <v>6</v>
      </c>
      <c r="O9" s="263" t="s">
        <v>7</v>
      </c>
      <c r="P9" s="548"/>
      <c r="Q9" s="549"/>
      <c r="R9" s="546"/>
      <c r="S9" s="550"/>
      <c r="T9" s="546"/>
      <c r="U9" s="543"/>
      <c r="V9" s="546"/>
      <c r="W9" s="375" t="s">
        <v>206</v>
      </c>
      <c r="X9" s="375" t="s">
        <v>207</v>
      </c>
      <c r="Y9" s="418" t="s">
        <v>658</v>
      </c>
      <c r="Z9" s="418" t="s">
        <v>659</v>
      </c>
    </row>
    <row r="10" spans="1:26" s="253" customFormat="1" ht="125.25" customHeight="1" x14ac:dyDescent="0.25">
      <c r="A10" s="283">
        <v>1</v>
      </c>
      <c r="B10" s="265" t="s">
        <v>267</v>
      </c>
      <c r="C10" s="265" t="s">
        <v>458</v>
      </c>
      <c r="D10" s="265"/>
      <c r="E10" s="265" t="s">
        <v>268</v>
      </c>
      <c r="F10" s="267" t="s">
        <v>32</v>
      </c>
      <c r="G10" s="265">
        <v>3</v>
      </c>
      <c r="H10" s="265">
        <v>3</v>
      </c>
      <c r="I10" s="380" t="str">
        <f>INDEX([13]Listas!$L$4:$P$8,G10,H10)</f>
        <v>ALTA</v>
      </c>
      <c r="J10" s="265" t="s">
        <v>487</v>
      </c>
      <c r="K10" s="270" t="s">
        <v>227</v>
      </c>
      <c r="L10" s="270" t="str">
        <f>IF('[13]Evaluación de Controles'!F48="X","Probabilidad",IF('[13]Evaluación de Controles'!H48="X","Impacto",))</f>
        <v>Probabilidad</v>
      </c>
      <c r="M10" s="491">
        <v>85</v>
      </c>
      <c r="N10" s="265">
        <f>IF('[13]Evaluación de Controles'!F48="X",IF(M10&gt;75,IF(G10&gt;2,G10-2,IF(G10&gt;1,G10-1,G10)),IF(M10&gt;50,IF(G10&gt;1,G10-1,G10),G10)),G10)</f>
        <v>1</v>
      </c>
      <c r="O10" s="265">
        <f>IF('[13]Evaluación de Controles'!H48="X",IF(M10&gt;75,IF(H10&gt;2,H10-2,IF(H10&gt;1,H10-1,H10)),IF(M10&gt;50,IF(H10&gt;1,H10-1,H10),H10)),H10)</f>
        <v>1</v>
      </c>
      <c r="P10" s="380" t="str">
        <f>INDEX([13]Listas!$L$4:$P$8,N10,O10)</f>
        <v>BAJA</v>
      </c>
      <c r="Q10" s="270"/>
      <c r="R10" s="265" t="s">
        <v>488</v>
      </c>
      <c r="S10" s="267" t="s">
        <v>269</v>
      </c>
      <c r="T10" s="265" t="s">
        <v>270</v>
      </c>
      <c r="U10" s="265" t="s">
        <v>481</v>
      </c>
      <c r="V10" s="265" t="s">
        <v>614</v>
      </c>
      <c r="W10" s="273"/>
      <c r="X10" s="291"/>
      <c r="Y10" s="378">
        <f>1/2</f>
        <v>0.5</v>
      </c>
      <c r="Z10" s="378">
        <f>2/2</f>
        <v>1</v>
      </c>
    </row>
    <row r="11" spans="1:26" s="253" customFormat="1" ht="184.5" customHeight="1" x14ac:dyDescent="0.25">
      <c r="A11" s="283">
        <v>2</v>
      </c>
      <c r="B11" s="265" t="s">
        <v>78</v>
      </c>
      <c r="C11" s="265" t="s">
        <v>483</v>
      </c>
      <c r="D11" s="265"/>
      <c r="E11" s="265" t="s">
        <v>66</v>
      </c>
      <c r="F11" s="267" t="s">
        <v>32</v>
      </c>
      <c r="G11" s="265">
        <v>3</v>
      </c>
      <c r="H11" s="265">
        <v>3</v>
      </c>
      <c r="I11" s="380" t="str">
        <f>INDEX([13]Listas!$L$4:$P$8,G11,H11)</f>
        <v>ALTA</v>
      </c>
      <c r="J11" s="265" t="s">
        <v>484</v>
      </c>
      <c r="K11" s="270" t="s">
        <v>228</v>
      </c>
      <c r="L11" s="270" t="str">
        <f>IF('[13]Evaluación de Controles'!F49="X","Probabilidad",IF('[13]Evaluación de Controles'!H49="X","Impacto",))</f>
        <v>Probabilidad</v>
      </c>
      <c r="M11" s="491">
        <f>'[13]Evaluación de Controles'!X49</f>
        <v>85</v>
      </c>
      <c r="N11" s="265">
        <f>IF('[13]Evaluación de Controles'!F49="X",IF(M11&gt;75,IF(G11&gt;2,G11-2,IF(G11&gt;1,G11-1,G11)),IF(M11&gt;50,IF(G11&gt;1,G11-1,G11),G11)),G11)</f>
        <v>1</v>
      </c>
      <c r="O11" s="265">
        <f>IF('[13]Evaluación de Controles'!H49="X",IF(M11&gt;75,IF(H11&gt;2,H11-2,IF(H11&gt;1,H11-1,H11)),IF(M11&gt;50,IF(H11&gt;1,H11-1,H11),H11)),H11)</f>
        <v>1</v>
      </c>
      <c r="P11" s="380" t="str">
        <f>INDEX([13]Listas!$L$4:$P$8,N11,O11)</f>
        <v>BAJA</v>
      </c>
      <c r="Q11" s="270"/>
      <c r="R11" s="265" t="s">
        <v>485</v>
      </c>
      <c r="S11" s="267" t="s">
        <v>65</v>
      </c>
      <c r="T11" s="265" t="s">
        <v>270</v>
      </c>
      <c r="U11" s="265" t="s">
        <v>482</v>
      </c>
      <c r="V11" s="265" t="s">
        <v>486</v>
      </c>
      <c r="W11" s="273"/>
      <c r="X11" s="291"/>
      <c r="Y11" s="378">
        <f>231/238</f>
        <v>0.97058823529411764</v>
      </c>
      <c r="Z11" s="378">
        <f>236/238</f>
        <v>0.99159663865546221</v>
      </c>
    </row>
    <row r="12" spans="1:26" s="253" customFormat="1" ht="125.25" customHeight="1" x14ac:dyDescent="0.25">
      <c r="A12" s="283">
        <v>3</v>
      </c>
      <c r="B12" s="265" t="s">
        <v>615</v>
      </c>
      <c r="C12" s="265" t="s">
        <v>616</v>
      </c>
      <c r="D12" s="265"/>
      <c r="E12" s="265" t="s">
        <v>617</v>
      </c>
      <c r="F12" s="267" t="s">
        <v>32</v>
      </c>
      <c r="G12" s="265">
        <v>3</v>
      </c>
      <c r="H12" s="265">
        <v>3</v>
      </c>
      <c r="I12" s="380" t="str">
        <f>INDEX([13]Listas!$L$4:$P$8,G12,H12)</f>
        <v>ALTA</v>
      </c>
      <c r="J12" s="265" t="s">
        <v>487</v>
      </c>
      <c r="K12" s="270" t="s">
        <v>227</v>
      </c>
      <c r="L12" s="270" t="str">
        <f>IF('[13]Evaluación de Controles'!F50="X","Probabilidad",IF('[13]Evaluación de Controles'!H50="X","Impacto",))</f>
        <v>Probabilidad</v>
      </c>
      <c r="M12" s="499">
        <v>40</v>
      </c>
      <c r="N12" s="265">
        <f>IF('[13]Evaluación de Controles'!F50="X",IF(M12&gt;75,IF(G12&gt;2,G12-2,IF(G12&gt;1,G12-1,G12)),IF(M12&gt;50,IF(G12&gt;1,G12-1,G12),G12)),G12)</f>
        <v>3</v>
      </c>
      <c r="O12" s="265">
        <f>IF('[13]Evaluación de Controles'!H50="X",IF(M12&gt;75,IF(H12&gt;2,H12-2,IF(H12&gt;1,H12-1,H12)),IF(M12&gt;50,IF(H12&gt;1,H12-1,H12),H12)),H12)</f>
        <v>3</v>
      </c>
      <c r="P12" s="380" t="str">
        <f>INDEX([13]Listas!$L$4:$P$8,N12,O12)</f>
        <v>ALTA</v>
      </c>
      <c r="Q12" s="270"/>
      <c r="R12" s="265" t="s">
        <v>618</v>
      </c>
      <c r="S12" s="267" t="s">
        <v>269</v>
      </c>
      <c r="T12" s="265" t="s">
        <v>270</v>
      </c>
      <c r="U12" s="265" t="s">
        <v>481</v>
      </c>
      <c r="V12" s="265" t="s">
        <v>614</v>
      </c>
      <c r="W12" s="273" t="s">
        <v>218</v>
      </c>
      <c r="X12" s="291"/>
      <c r="Y12" s="381">
        <f>1/2</f>
        <v>0.5</v>
      </c>
      <c r="Z12" s="378">
        <f>2/2</f>
        <v>1</v>
      </c>
    </row>
    <row r="13" spans="1:26" ht="14.25" x14ac:dyDescent="0.2">
      <c r="C13" s="382"/>
      <c r="D13" s="252"/>
      <c r="M13" s="383"/>
      <c r="Y13" s="428">
        <f>AVERAGE(Y10:Y12)</f>
        <v>0.65686274509803921</v>
      </c>
      <c r="Z13" s="428">
        <f>AVERAGE(Z10:Z12)</f>
        <v>0.99719887955182074</v>
      </c>
    </row>
    <row r="14" spans="1:26" x14ac:dyDescent="0.2">
      <c r="B14" s="384"/>
      <c r="C14" s="384"/>
      <c r="D14" s="384"/>
      <c r="E14" s="384"/>
      <c r="F14" s="384"/>
      <c r="G14" s="541" t="s">
        <v>97</v>
      </c>
      <c r="H14" s="541"/>
      <c r="I14" s="36">
        <f>COUNTIF(I10:I12,"BAJA")</f>
        <v>0</v>
      </c>
      <c r="M14" s="383"/>
      <c r="N14" s="541" t="s">
        <v>97</v>
      </c>
      <c r="O14" s="541"/>
      <c r="P14" s="36">
        <f>COUNTIF(P10:P12,"BAJA")</f>
        <v>2</v>
      </c>
    </row>
    <row r="15" spans="1:26" ht="12" customHeight="1" x14ac:dyDescent="0.2">
      <c r="B15" s="587"/>
      <c r="C15" s="587"/>
      <c r="D15" s="587"/>
      <c r="E15" s="587"/>
      <c r="F15" s="587"/>
      <c r="G15" s="541" t="s">
        <v>99</v>
      </c>
      <c r="H15" s="541"/>
      <c r="I15" s="36">
        <f>COUNTIF(I10:I12,"MODERADA")</f>
        <v>0</v>
      </c>
      <c r="M15" s="384"/>
      <c r="N15" s="541" t="s">
        <v>99</v>
      </c>
      <c r="O15" s="541"/>
      <c r="P15" s="36">
        <f>COUNTIF(P10:P12,"MODERADA")</f>
        <v>0</v>
      </c>
    </row>
    <row r="16" spans="1:26" x14ac:dyDescent="0.2">
      <c r="G16" s="541" t="s">
        <v>98</v>
      </c>
      <c r="H16" s="541"/>
      <c r="I16" s="36">
        <f>COUNTIF(I10:I12,"ALTA")</f>
        <v>3</v>
      </c>
      <c r="N16" s="541" t="s">
        <v>98</v>
      </c>
      <c r="O16" s="541"/>
      <c r="P16" s="36">
        <f>COUNTIF(P10:P12,"ALTA")</f>
        <v>1</v>
      </c>
      <c r="Q16" s="229"/>
      <c r="V16" s="229"/>
    </row>
    <row r="17" spans="2:22" ht="15.75" customHeight="1" x14ac:dyDescent="0.2">
      <c r="B17" s="234"/>
      <c r="E17" s="230"/>
      <c r="G17" s="541" t="s">
        <v>100</v>
      </c>
      <c r="H17" s="541"/>
      <c r="I17" s="36">
        <f>COUNTIF(I10:I12,"EXTREMA")</f>
        <v>0</v>
      </c>
      <c r="N17" s="541" t="s">
        <v>100</v>
      </c>
      <c r="O17" s="541"/>
      <c r="P17" s="36">
        <f>COUNTIF(P10:P12,"EXTREMA")</f>
        <v>0</v>
      </c>
      <c r="Q17" s="229"/>
      <c r="V17" s="229"/>
    </row>
    <row r="18" spans="2:22" x14ac:dyDescent="0.2">
      <c r="M18" s="229" t="s">
        <v>21</v>
      </c>
      <c r="P18" s="229"/>
      <c r="Q18" s="229"/>
      <c r="V18" s="229"/>
    </row>
    <row r="19" spans="2:22" x14ac:dyDescent="0.2">
      <c r="P19" s="229"/>
      <c r="Q19" s="229"/>
      <c r="V19" s="229"/>
    </row>
    <row r="20" spans="2:22" x14ac:dyDescent="0.2">
      <c r="P20" s="229"/>
      <c r="Q20" s="229"/>
      <c r="V20" s="229"/>
    </row>
    <row r="21" spans="2:22" x14ac:dyDescent="0.2">
      <c r="P21" s="229"/>
      <c r="Q21" s="229"/>
      <c r="V21" s="229"/>
    </row>
    <row r="22" spans="2:22" ht="15" x14ac:dyDescent="0.2">
      <c r="B22" s="372"/>
      <c r="C22" s="385"/>
      <c r="D22" s="362"/>
      <c r="E22" s="233"/>
      <c r="F22" s="233"/>
      <c r="G22" s="233"/>
      <c r="P22" s="229"/>
      <c r="Q22" s="229"/>
      <c r="V22" s="229"/>
    </row>
    <row r="23" spans="2:22" ht="15" x14ac:dyDescent="0.2">
      <c r="B23" s="363" t="s">
        <v>593</v>
      </c>
      <c r="C23" s="386"/>
      <c r="D23" s="364"/>
      <c r="E23" s="365" t="s">
        <v>654</v>
      </c>
      <c r="F23" s="365"/>
      <c r="G23" s="365"/>
      <c r="P23" s="229"/>
      <c r="Q23" s="229"/>
      <c r="V23" s="229"/>
    </row>
    <row r="24" spans="2:22" ht="15" x14ac:dyDescent="0.2">
      <c r="B24" s="232" t="s">
        <v>244</v>
      </c>
      <c r="C24" s="171"/>
      <c r="D24" s="172"/>
      <c r="E24" s="232" t="s">
        <v>245</v>
      </c>
      <c r="F24" s="171"/>
      <c r="G24" s="14"/>
      <c r="P24" s="229"/>
      <c r="Q24" s="229"/>
      <c r="V24" s="229"/>
    </row>
    <row r="25" spans="2:22" x14ac:dyDescent="0.2">
      <c r="P25" s="229"/>
      <c r="Q25" s="229"/>
      <c r="V25" s="229"/>
    </row>
    <row r="26" spans="2:22" x14ac:dyDescent="0.2">
      <c r="P26" s="229"/>
      <c r="Q26" s="229"/>
      <c r="V26" s="229"/>
    </row>
    <row r="27" spans="2:22" x14ac:dyDescent="0.2">
      <c r="D27" s="9"/>
      <c r="H27" s="9"/>
      <c r="I27" s="10"/>
      <c r="P27" s="229"/>
      <c r="Q27" s="229"/>
      <c r="V27" s="229"/>
    </row>
    <row r="28" spans="2:22" x14ac:dyDescent="0.2">
      <c r="D28" s="9"/>
      <c r="H28" s="9"/>
      <c r="I28" s="10"/>
      <c r="P28" s="229"/>
      <c r="Q28" s="229"/>
      <c r="V28" s="229"/>
    </row>
    <row r="29" spans="2:22" x14ac:dyDescent="0.2">
      <c r="D29" s="9"/>
      <c r="P29" s="229"/>
      <c r="Q29" s="229"/>
      <c r="V29" s="229"/>
    </row>
    <row r="30" spans="2:22" x14ac:dyDescent="0.2">
      <c r="D30" s="9"/>
      <c r="P30" s="229"/>
      <c r="Q30" s="229"/>
      <c r="V30" s="229"/>
    </row>
    <row r="31" spans="2:22" x14ac:dyDescent="0.2">
      <c r="D31" s="9"/>
      <c r="P31" s="229"/>
      <c r="Q31" s="229"/>
      <c r="V31" s="229"/>
    </row>
    <row r="32" spans="2:22" x14ac:dyDescent="0.2">
      <c r="D32" s="9"/>
      <c r="I32" s="229"/>
      <c r="J32" s="229"/>
      <c r="K32" s="22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row r="54" spans="4:22" x14ac:dyDescent="0.2">
      <c r="D54" s="9"/>
      <c r="I54" s="229"/>
      <c r="J54" s="229"/>
      <c r="K54" s="229"/>
      <c r="P54" s="229"/>
      <c r="Q54" s="229"/>
      <c r="V54" s="229"/>
    </row>
    <row r="55" spans="4:22" x14ac:dyDescent="0.2">
      <c r="D55" s="9"/>
      <c r="I55" s="229"/>
      <c r="J55" s="229"/>
      <c r="K55" s="229"/>
      <c r="P55" s="229"/>
      <c r="Q55" s="229"/>
      <c r="V55" s="229"/>
    </row>
  </sheetData>
  <customSheetViews>
    <customSheetView guid="{B83C9EB8-C964-4489-98C8-19C81BFAE010}" scale="70" fitToPage="1" printArea="1" hiddenColumns="1">
      <selection activeCell="Z7" sqref="Z7"/>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42BB51DB-DC3E-4DA5-9499-5574EB19780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2"/>
    </customSheetView>
    <customSheetView guid="{D8BB7E15-0E8F-45FC-AD1A-6D8C295A087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3"/>
    </customSheetView>
    <customSheetView guid="{F7D68F61-F89A-4541-9A78-C25C58CA23E3}"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ADD38025-F4B2-44E2-9D06-07A9BF0F3A51}"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8"/>
    </customSheetView>
    <customSheetView guid="{97D65C1E-976A-4956-97FC-0E8188ABCFAA}"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9"/>
    </customSheetView>
  </customSheetViews>
  <mergeCells count="36">
    <mergeCell ref="Y8:Z8"/>
    <mergeCell ref="B1:C3"/>
    <mergeCell ref="D1:U3"/>
    <mergeCell ref="B5:C5"/>
    <mergeCell ref="E5:O5"/>
    <mergeCell ref="P5:Q5"/>
    <mergeCell ref="W8:X8"/>
    <mergeCell ref="Q8:Q9"/>
    <mergeCell ref="R8:R9"/>
    <mergeCell ref="M8:M9"/>
    <mergeCell ref="U8:U9"/>
    <mergeCell ref="S8:S9"/>
    <mergeCell ref="T8:T9"/>
    <mergeCell ref="V8:V9"/>
    <mergeCell ref="B6:C6"/>
    <mergeCell ref="E6:T6"/>
    <mergeCell ref="G16:H16"/>
    <mergeCell ref="G17:H17"/>
    <mergeCell ref="N14:O14"/>
    <mergeCell ref="N15:O15"/>
    <mergeCell ref="N16:O16"/>
    <mergeCell ref="N17:O17"/>
    <mergeCell ref="B15:F15"/>
    <mergeCell ref="N8:O8"/>
    <mergeCell ref="P8:P9"/>
    <mergeCell ref="G14:H14"/>
    <mergeCell ref="G15:H15"/>
    <mergeCell ref="B8:B9"/>
    <mergeCell ref="C8:C9"/>
    <mergeCell ref="D8:D9"/>
    <mergeCell ref="K8:L8"/>
    <mergeCell ref="E8:E9"/>
    <mergeCell ref="F8:F9"/>
    <mergeCell ref="G8:H8"/>
    <mergeCell ref="I8:I9"/>
    <mergeCell ref="J8:J9"/>
  </mergeCells>
  <conditionalFormatting sqref="I7 P7 I27:I1048576 P27:P1048576">
    <cfRule type="cellIs" dxfId="150" priority="191" operator="equal">
      <formula>"BAJA"</formula>
    </cfRule>
  </conditionalFormatting>
  <conditionalFormatting sqref="I7 P7 I27:I1048576 P27:P1048576">
    <cfRule type="cellIs" dxfId="149" priority="188" operator="equal">
      <formula>"EXTREMA"</formula>
    </cfRule>
    <cfRule type="cellIs" dxfId="148" priority="189" operator="equal">
      <formula>"ALTA"</formula>
    </cfRule>
    <cfRule type="cellIs" dxfId="147" priority="190" operator="equal">
      <formula>"MODERADA"</formula>
    </cfRule>
  </conditionalFormatting>
  <conditionalFormatting sqref="F27:G1048576 F7:G7 N7:O7 N27:O1048576">
    <cfRule type="colorScale" priority="187">
      <colorScale>
        <cfvo type="num" val="1"/>
        <cfvo type="num" val="3"/>
        <cfvo type="num" val="5"/>
        <color theme="6" tint="-0.499984740745262"/>
        <color rgb="FFFFFF00"/>
        <color rgb="FFC00000"/>
      </colorScale>
    </cfRule>
  </conditionalFormatting>
  <conditionalFormatting sqref="F4:G4 N4:O4">
    <cfRule type="colorScale" priority="114">
      <colorScale>
        <cfvo type="num" val="1"/>
        <cfvo type="num" val="3"/>
        <cfvo type="num" val="5"/>
        <color theme="6" tint="-0.499984740745262"/>
        <color rgb="FFFFFF00"/>
        <color rgb="FFC00000"/>
      </colorScale>
    </cfRule>
  </conditionalFormatting>
  <conditionalFormatting sqref="I13:I26 P13:P26">
    <cfRule type="cellIs" dxfId="146" priority="113" operator="equal">
      <formula>"BAJA"</formula>
    </cfRule>
  </conditionalFormatting>
  <conditionalFormatting sqref="I13:I26 P13:P26">
    <cfRule type="cellIs" dxfId="145" priority="110" operator="equal">
      <formula>"EXTREMA"</formula>
    </cfRule>
    <cfRule type="cellIs" dxfId="144" priority="111" operator="equal">
      <formula>"ALTA"</formula>
    </cfRule>
    <cfRule type="cellIs" dxfId="143" priority="112" operator="equal">
      <formula>"MODERADA"</formula>
    </cfRule>
  </conditionalFormatting>
  <conditionalFormatting sqref="F13:G21 N13:O26 F25:G26">
    <cfRule type="colorScale" priority="109">
      <colorScale>
        <cfvo type="num" val="1"/>
        <cfvo type="num" val="3"/>
        <cfvo type="num" val="5"/>
        <color theme="6" tint="-0.499984740745262"/>
        <color rgb="FFFFFF00"/>
        <color rgb="FFC00000"/>
      </colorScale>
    </cfRule>
  </conditionalFormatting>
  <conditionalFormatting sqref="I14:I17">
    <cfRule type="cellIs" dxfId="142" priority="108" operator="equal">
      <formula>"BAJA"</formula>
    </cfRule>
  </conditionalFormatting>
  <conditionalFormatting sqref="I14:I17">
    <cfRule type="cellIs" dxfId="141" priority="105" operator="equal">
      <formula>"EXTREMA"</formula>
    </cfRule>
    <cfRule type="cellIs" dxfId="140" priority="106" operator="equal">
      <formula>"ALTA"</formula>
    </cfRule>
    <cfRule type="cellIs" dxfId="139" priority="107" operator="equal">
      <formula>"MODERADA"</formula>
    </cfRule>
  </conditionalFormatting>
  <conditionalFormatting sqref="G14:G17">
    <cfRule type="colorScale" priority="104">
      <colorScale>
        <cfvo type="num" val="1"/>
        <cfvo type="num" val="3"/>
        <cfvo type="num" val="5"/>
        <color theme="6" tint="-0.499984740745262"/>
        <color rgb="FFFFFF00"/>
        <color rgb="FFC00000"/>
      </colorScale>
    </cfRule>
  </conditionalFormatting>
  <conditionalFormatting sqref="I14:I17">
    <cfRule type="cellIs" dxfId="138" priority="103" operator="equal">
      <formula>"BAJA"</formula>
    </cfRule>
  </conditionalFormatting>
  <conditionalFormatting sqref="I14:I17">
    <cfRule type="cellIs" dxfId="137" priority="100" operator="equal">
      <formula>"EXTREMA"</formula>
    </cfRule>
    <cfRule type="cellIs" dxfId="136" priority="101" operator="equal">
      <formula>"ALTA"</formula>
    </cfRule>
    <cfRule type="cellIs" dxfId="135" priority="102" operator="equal">
      <formula>"MODERADA"</formula>
    </cfRule>
  </conditionalFormatting>
  <conditionalFormatting sqref="G14:G17">
    <cfRule type="colorScale" priority="99">
      <colorScale>
        <cfvo type="num" val="1"/>
        <cfvo type="num" val="3"/>
        <cfvo type="num" val="5"/>
        <color theme="6" tint="-0.499984740745262"/>
        <color rgb="FFFFFF00"/>
        <color rgb="FFC00000"/>
      </colorScale>
    </cfRule>
  </conditionalFormatting>
  <conditionalFormatting sqref="I14:I17">
    <cfRule type="cellIs" dxfId="134" priority="98" operator="equal">
      <formula>"BAJA"</formula>
    </cfRule>
  </conditionalFormatting>
  <conditionalFormatting sqref="I14:I17">
    <cfRule type="cellIs" dxfId="133" priority="95" operator="equal">
      <formula>"EXTREMA"</formula>
    </cfRule>
    <cfRule type="cellIs" dxfId="132" priority="96" operator="equal">
      <formula>"ALTA"</formula>
    </cfRule>
    <cfRule type="cellIs" dxfId="131" priority="97" operator="equal">
      <formula>"MODERADA"</formula>
    </cfRule>
  </conditionalFormatting>
  <conditionalFormatting sqref="G14:G17">
    <cfRule type="colorScale" priority="94">
      <colorScale>
        <cfvo type="num" val="1"/>
        <cfvo type="num" val="3"/>
        <cfvo type="num" val="5"/>
        <color theme="6" tint="-0.499984740745262"/>
        <color rgb="FFFFFF00"/>
        <color rgb="FFC00000"/>
      </colorScale>
    </cfRule>
  </conditionalFormatting>
  <conditionalFormatting sqref="I14:I17">
    <cfRule type="cellIs" dxfId="130" priority="93" operator="equal">
      <formula>"BAJA"</formula>
    </cfRule>
  </conditionalFormatting>
  <conditionalFormatting sqref="I14:I17">
    <cfRule type="cellIs" dxfId="129" priority="90" operator="equal">
      <formula>"EXTREMA"</formula>
    </cfRule>
    <cfRule type="cellIs" dxfId="128" priority="91" operator="equal">
      <formula>"ALTA"</formula>
    </cfRule>
    <cfRule type="cellIs" dxfId="127" priority="92" operator="equal">
      <formula>"MODERADA"</formula>
    </cfRule>
  </conditionalFormatting>
  <conditionalFormatting sqref="G14:G17">
    <cfRule type="colorScale" priority="89">
      <colorScale>
        <cfvo type="num" val="1"/>
        <cfvo type="num" val="3"/>
        <cfvo type="num" val="5"/>
        <color theme="6" tint="-0.499984740745262"/>
        <color rgb="FFFFFF00"/>
        <color rgb="FFC00000"/>
      </colorScale>
    </cfRule>
  </conditionalFormatting>
  <conditionalFormatting sqref="I14:I17">
    <cfRule type="cellIs" dxfId="126" priority="88" operator="equal">
      <formula>"BAJA"</formula>
    </cfRule>
  </conditionalFormatting>
  <conditionalFormatting sqref="I14:I17">
    <cfRule type="cellIs" dxfId="125" priority="85" operator="equal">
      <formula>"EXTREMA"</formula>
    </cfRule>
    <cfRule type="cellIs" dxfId="124" priority="86" operator="equal">
      <formula>"ALTA"</formula>
    </cfRule>
    <cfRule type="cellIs" dxfId="123" priority="87" operator="equal">
      <formula>"MODERADA"</formula>
    </cfRule>
  </conditionalFormatting>
  <conditionalFormatting sqref="G14:G17">
    <cfRule type="colorScale" priority="84">
      <colorScale>
        <cfvo type="num" val="1"/>
        <cfvo type="num" val="3"/>
        <cfvo type="num" val="5"/>
        <color theme="6" tint="-0.499984740745262"/>
        <color rgb="FFFFFF00"/>
        <color rgb="FFC00000"/>
      </colorScale>
    </cfRule>
  </conditionalFormatting>
  <conditionalFormatting sqref="I14:I17">
    <cfRule type="cellIs" dxfId="122" priority="83" operator="equal">
      <formula>"BAJA"</formula>
    </cfRule>
  </conditionalFormatting>
  <conditionalFormatting sqref="I14:I17">
    <cfRule type="cellIs" dxfId="121" priority="80" operator="equal">
      <formula>"EXTREMA"</formula>
    </cfRule>
    <cfRule type="cellIs" dxfId="120" priority="81" operator="equal">
      <formula>"ALTA"</formula>
    </cfRule>
    <cfRule type="cellIs" dxfId="119" priority="82" operator="equal">
      <formula>"MODERADA"</formula>
    </cfRule>
  </conditionalFormatting>
  <conditionalFormatting sqref="P14:P17">
    <cfRule type="cellIs" dxfId="118" priority="79" operator="equal">
      <formula>"BAJA"</formula>
    </cfRule>
  </conditionalFormatting>
  <conditionalFormatting sqref="P14:P17">
    <cfRule type="cellIs" dxfId="117" priority="76" operator="equal">
      <formula>"EXTREMA"</formula>
    </cfRule>
    <cfRule type="cellIs" dxfId="116" priority="77" operator="equal">
      <formula>"ALTA"</formula>
    </cfRule>
    <cfRule type="cellIs" dxfId="115" priority="78" operator="equal">
      <formula>"MODERADA"</formula>
    </cfRule>
  </conditionalFormatting>
  <conditionalFormatting sqref="N14:N17">
    <cfRule type="colorScale" priority="75">
      <colorScale>
        <cfvo type="num" val="1"/>
        <cfvo type="num" val="3"/>
        <cfvo type="num" val="5"/>
        <color theme="6" tint="-0.499984740745262"/>
        <color rgb="FFFFFF00"/>
        <color rgb="FFC00000"/>
      </colorScale>
    </cfRule>
  </conditionalFormatting>
  <conditionalFormatting sqref="P14:P17">
    <cfRule type="cellIs" dxfId="114" priority="74" operator="equal">
      <formula>"BAJA"</formula>
    </cfRule>
  </conditionalFormatting>
  <conditionalFormatting sqref="P14:P17">
    <cfRule type="cellIs" dxfId="113" priority="71" operator="equal">
      <formula>"EXTREMA"</formula>
    </cfRule>
    <cfRule type="cellIs" dxfId="112" priority="72" operator="equal">
      <formula>"ALTA"</formula>
    </cfRule>
    <cfRule type="cellIs" dxfId="111" priority="73" operator="equal">
      <formula>"MODERADA"</formula>
    </cfRule>
  </conditionalFormatting>
  <conditionalFormatting sqref="N14:N17">
    <cfRule type="colorScale" priority="70">
      <colorScale>
        <cfvo type="num" val="1"/>
        <cfvo type="num" val="3"/>
        <cfvo type="num" val="5"/>
        <color theme="6" tint="-0.499984740745262"/>
        <color rgb="FFFFFF00"/>
        <color rgb="FFC00000"/>
      </colorScale>
    </cfRule>
  </conditionalFormatting>
  <conditionalFormatting sqref="P14:P17">
    <cfRule type="cellIs" dxfId="110" priority="69" operator="equal">
      <formula>"BAJA"</formula>
    </cfRule>
  </conditionalFormatting>
  <conditionalFormatting sqref="P14:P17">
    <cfRule type="cellIs" dxfId="109" priority="66" operator="equal">
      <formula>"EXTREMA"</formula>
    </cfRule>
    <cfRule type="cellIs" dxfId="108" priority="67" operator="equal">
      <formula>"ALTA"</formula>
    </cfRule>
    <cfRule type="cellIs" dxfId="107" priority="68" operator="equal">
      <formula>"MODERADA"</formula>
    </cfRule>
  </conditionalFormatting>
  <conditionalFormatting sqref="N14:N17">
    <cfRule type="colorScale" priority="65">
      <colorScale>
        <cfvo type="num" val="1"/>
        <cfvo type="num" val="3"/>
        <cfvo type="num" val="5"/>
        <color theme="6" tint="-0.499984740745262"/>
        <color rgb="FFFFFF00"/>
        <color rgb="FFC00000"/>
      </colorScale>
    </cfRule>
  </conditionalFormatting>
  <conditionalFormatting sqref="P14:P17">
    <cfRule type="cellIs" dxfId="106" priority="64" operator="equal">
      <formula>"BAJA"</formula>
    </cfRule>
  </conditionalFormatting>
  <conditionalFormatting sqref="P14:P17">
    <cfRule type="cellIs" dxfId="105" priority="61" operator="equal">
      <formula>"EXTREMA"</formula>
    </cfRule>
    <cfRule type="cellIs" dxfId="104" priority="62" operator="equal">
      <formula>"ALTA"</formula>
    </cfRule>
    <cfRule type="cellIs" dxfId="103" priority="63" operator="equal">
      <formula>"MODERADA"</formula>
    </cfRule>
  </conditionalFormatting>
  <conditionalFormatting sqref="N14:N17">
    <cfRule type="colorScale" priority="60">
      <colorScale>
        <cfvo type="num" val="1"/>
        <cfvo type="num" val="3"/>
        <cfvo type="num" val="5"/>
        <color theme="6" tint="-0.499984740745262"/>
        <color rgb="FFFFFF00"/>
        <color rgb="FFC00000"/>
      </colorScale>
    </cfRule>
  </conditionalFormatting>
  <conditionalFormatting sqref="P14:P17">
    <cfRule type="cellIs" dxfId="102" priority="59" operator="equal">
      <formula>"BAJA"</formula>
    </cfRule>
  </conditionalFormatting>
  <conditionalFormatting sqref="P14:P17">
    <cfRule type="cellIs" dxfId="101" priority="56" operator="equal">
      <formula>"EXTREMA"</formula>
    </cfRule>
    <cfRule type="cellIs" dxfId="100" priority="57" operator="equal">
      <formula>"ALTA"</formula>
    </cfRule>
    <cfRule type="cellIs" dxfId="99" priority="58" operator="equal">
      <formula>"MODERADA"</formula>
    </cfRule>
  </conditionalFormatting>
  <conditionalFormatting sqref="N14:N17">
    <cfRule type="colorScale" priority="55">
      <colorScale>
        <cfvo type="num" val="1"/>
        <cfvo type="num" val="3"/>
        <cfvo type="num" val="5"/>
        <color theme="6" tint="-0.499984740745262"/>
        <color rgb="FFFFFF00"/>
        <color rgb="FFC00000"/>
      </colorScale>
    </cfRule>
  </conditionalFormatting>
  <conditionalFormatting sqref="P14:P17">
    <cfRule type="cellIs" dxfId="98" priority="54" operator="equal">
      <formula>"BAJA"</formula>
    </cfRule>
  </conditionalFormatting>
  <conditionalFormatting sqref="P14:P17">
    <cfRule type="cellIs" dxfId="97" priority="51" operator="equal">
      <formula>"EXTREMA"</formula>
    </cfRule>
    <cfRule type="cellIs" dxfId="96" priority="52" operator="equal">
      <formula>"ALTA"</formula>
    </cfRule>
    <cfRule type="cellIs" dxfId="95" priority="53" operator="equal">
      <formula>"MODERADA"</formula>
    </cfRule>
  </conditionalFormatting>
  <conditionalFormatting sqref="G10:H11">
    <cfRule type="colorScale" priority="26">
      <colorScale>
        <cfvo type="num" val="1"/>
        <cfvo type="num" val="3"/>
        <cfvo type="num" val="5"/>
        <color theme="6" tint="-0.499984740745262"/>
        <color rgb="FFFFFF00"/>
        <color rgb="FFC00000"/>
      </colorScale>
    </cfRule>
  </conditionalFormatting>
  <conditionalFormatting sqref="I10:I11">
    <cfRule type="cellIs" dxfId="94" priority="22" operator="equal">
      <formula>"EXTREMA"</formula>
    </cfRule>
    <cfRule type="cellIs" dxfId="93" priority="23" operator="equal">
      <formula>"ALTA"</formula>
    </cfRule>
    <cfRule type="cellIs" dxfId="92" priority="24" operator="equal">
      <formula>"MODERADA"</formula>
    </cfRule>
    <cfRule type="cellIs" dxfId="91" priority="25" operator="equal">
      <formula>"BAJA"</formula>
    </cfRule>
  </conditionalFormatting>
  <conditionalFormatting sqref="P10:P11">
    <cfRule type="cellIs" dxfId="90" priority="18" operator="equal">
      <formula>"EXTREMA"</formula>
    </cfRule>
    <cfRule type="cellIs" dxfId="89" priority="19" operator="equal">
      <formula>"ALTA"</formula>
    </cfRule>
    <cfRule type="cellIs" dxfId="88" priority="20" operator="equal">
      <formula>"MODERADA"</formula>
    </cfRule>
    <cfRule type="cellIs" dxfId="87" priority="21" operator="equal">
      <formula>"BAJA"</formula>
    </cfRule>
  </conditionalFormatting>
  <conditionalFormatting sqref="N10:O11">
    <cfRule type="colorScale" priority="17">
      <colorScale>
        <cfvo type="num" val="1"/>
        <cfvo type="num" val="3"/>
        <cfvo type="num" val="5"/>
        <color theme="6" tint="-0.499984740745262"/>
        <color rgb="FFFFFF00"/>
        <color rgb="FFC00000"/>
      </colorScale>
    </cfRule>
  </conditionalFormatting>
  <conditionalFormatting sqref="I8:I9 P8:P9">
    <cfRule type="cellIs" dxfId="86" priority="16" operator="equal">
      <formula>"BAJA"</formula>
    </cfRule>
  </conditionalFormatting>
  <conditionalFormatting sqref="I8:I9 P8:P9">
    <cfRule type="cellIs" dxfId="85" priority="13" operator="equal">
      <formula>"EXTREMA"</formula>
    </cfRule>
    <cfRule type="cellIs" dxfId="84" priority="14" operator="equal">
      <formula>"ALTA"</formula>
    </cfRule>
    <cfRule type="cellIs" dxfId="83" priority="15" operator="equal">
      <formula>"MODERADA"</formula>
    </cfRule>
  </conditionalFormatting>
  <conditionalFormatting sqref="G8:H9 N8:O9">
    <cfRule type="colorScale" priority="12">
      <colorScale>
        <cfvo type="num" val="1"/>
        <cfvo type="num" val="3"/>
        <cfvo type="num" val="5"/>
        <color theme="6" tint="-0.499984740745262"/>
        <color rgb="FFFFFF00"/>
        <color rgb="FFC00000"/>
      </colorScale>
    </cfRule>
  </conditionalFormatting>
  <conditionalFormatting sqref="G12:H12">
    <cfRule type="colorScale" priority="11">
      <colorScale>
        <cfvo type="num" val="1"/>
        <cfvo type="num" val="3"/>
        <cfvo type="num" val="5"/>
        <color theme="6" tint="-0.499984740745262"/>
        <color rgb="FFFFFF00"/>
        <color rgb="FFC00000"/>
      </colorScale>
    </cfRule>
  </conditionalFormatting>
  <conditionalFormatting sqref="I12">
    <cfRule type="cellIs" dxfId="82" priority="7" operator="equal">
      <formula>"EXTREMA"</formula>
    </cfRule>
    <cfRule type="cellIs" dxfId="81" priority="8" operator="equal">
      <formula>"ALTA"</formula>
    </cfRule>
    <cfRule type="cellIs" dxfId="80" priority="9" operator="equal">
      <formula>"MODERADA"</formula>
    </cfRule>
    <cfRule type="cellIs" dxfId="79" priority="10" operator="equal">
      <formula>"BAJA"</formula>
    </cfRule>
  </conditionalFormatting>
  <conditionalFormatting sqref="P12">
    <cfRule type="cellIs" dxfId="78" priority="3" operator="equal">
      <formula>"EXTREMA"</formula>
    </cfRule>
    <cfRule type="cellIs" dxfId="77" priority="4" operator="equal">
      <formula>"ALTA"</formula>
    </cfRule>
    <cfRule type="cellIs" dxfId="76" priority="5" operator="equal">
      <formula>"MODERADA"</formula>
    </cfRule>
    <cfRule type="cellIs" dxfId="75" priority="6" operator="equal">
      <formula>"BAJA"</formula>
    </cfRule>
  </conditionalFormatting>
  <conditionalFormatting sqref="N12:O12">
    <cfRule type="colorScale" priority="2">
      <colorScale>
        <cfvo type="num" val="1"/>
        <cfvo type="num" val="3"/>
        <cfvo type="num" val="5"/>
        <color theme="6" tint="-0.499984740745262"/>
        <color rgb="FFFFFF00"/>
        <color rgb="FFC00000"/>
      </colorScale>
    </cfRule>
  </conditionalFormatting>
  <conditionalFormatting sqref="F22:G24">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74803149606299213" bottom="0.55118110236220474" header="0.31496062992125984" footer="0.31496062992125984"/>
  <pageSetup paperSize="5" scale="50"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D00-000000000000}">
          <x14:formula1>
            <xm:f>'/Volumes/GoogleDrive/Mi unidad/COVID REPS/FEBRERO 2021/04 FEBRERO/E:\PLANEACIÓN HRQV\MAPA DE RIESGOS\SEGUIMIENTO MAPA DE RIESGOS\ALMACÉN\[Mapa de Riesgo  y seguimiento  2019 ALMACEN.xlsx]Listas'!#REF!</xm:f>
          </x14:formula1>
          <xm:sqref>K10:K12</xm:sqref>
        </x14:dataValidation>
        <x14:dataValidation type="list" showInputMessage="1" showErrorMessage="1" xr:uid="{00000000-0002-0000-0D00-000001000000}">
          <x14:formula1>
            <xm:f>'/Volumes/GoogleDrive/Mi unidad/COVID REPS/FEBRERO 2021/04 FEBRERO/E:\PLANEACIÓN HRQV\MAPA DE RIESGOS\SEGUIMIENTO MAPA DE RIESGOS\ALMACÉN\[Mapa de Riesgo  y seguimiento  2019 ALMACEN.xlsx]Listas'!#REF!</xm:f>
          </x14:formula1>
          <xm:sqref>F10:F12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autoPageBreaks="0"/>
  </sheetPr>
  <dimension ref="A1:Z54"/>
  <sheetViews>
    <sheetView topLeftCell="L1" zoomScaleNormal="100" workbookViewId="0">
      <selection activeCell="Z11" sqref="Z11"/>
    </sheetView>
  </sheetViews>
  <sheetFormatPr baseColWidth="10" defaultColWidth="11.42578125" defaultRowHeight="12" x14ac:dyDescent="0.2"/>
  <cols>
    <col min="1" max="1" width="4.7109375" style="229" customWidth="1"/>
    <col min="2" max="2" width="21.7109375" style="229" customWidth="1"/>
    <col min="3" max="3" width="28.42578125" style="229" customWidth="1"/>
    <col min="4" max="4" width="21.7109375" style="229" hidden="1" customWidth="1"/>
    <col min="5" max="5" width="25.14062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3.140625" style="229" customWidth="1"/>
    <col min="21" max="21" width="16.7109375" style="229" customWidth="1"/>
    <col min="22" max="22" width="16.7109375" style="18" customWidth="1"/>
    <col min="23" max="24" width="36.7109375" style="229" hidden="1" customWidth="1"/>
    <col min="25" max="25" width="20.140625" style="229" customWidth="1"/>
    <col min="26" max="26" width="24.7109375" style="229" customWidth="1"/>
    <col min="27" max="16384" width="11.42578125" style="229"/>
  </cols>
  <sheetData>
    <row r="1" spans="1:26" ht="24"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6" ht="24"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6" ht="24"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6"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321"/>
    </row>
    <row r="5" spans="1:26" s="253" customFormat="1" ht="24" customHeight="1" x14ac:dyDescent="0.25">
      <c r="A5" s="252"/>
      <c r="B5" s="553" t="s">
        <v>0</v>
      </c>
      <c r="C5" s="554"/>
      <c r="D5" s="316"/>
      <c r="E5" s="557" t="s">
        <v>572</v>
      </c>
      <c r="F5" s="557"/>
      <c r="G5" s="557"/>
      <c r="H5" s="557"/>
      <c r="I5" s="557"/>
      <c r="J5" s="557"/>
      <c r="K5" s="557"/>
      <c r="L5" s="557"/>
      <c r="M5" s="557"/>
      <c r="N5" s="557"/>
      <c r="O5" s="558"/>
      <c r="P5" s="553" t="s">
        <v>25</v>
      </c>
      <c r="Q5" s="554"/>
      <c r="R5" s="316">
        <v>2020</v>
      </c>
      <c r="S5" s="351"/>
      <c r="T5" s="352"/>
      <c r="V5" s="320"/>
    </row>
    <row r="6" spans="1:26" s="253" customFormat="1" ht="44.25" customHeight="1" x14ac:dyDescent="0.25">
      <c r="A6" s="252"/>
      <c r="B6" s="553" t="s">
        <v>1</v>
      </c>
      <c r="C6" s="554"/>
      <c r="D6" s="319"/>
      <c r="E6" s="589" t="s">
        <v>597</v>
      </c>
      <c r="F6" s="589"/>
      <c r="G6" s="589"/>
      <c r="H6" s="589"/>
      <c r="I6" s="589"/>
      <c r="J6" s="589"/>
      <c r="K6" s="589"/>
      <c r="L6" s="589"/>
      <c r="M6" s="589"/>
      <c r="N6" s="589"/>
      <c r="O6" s="589"/>
      <c r="P6" s="589"/>
      <c r="Q6" s="589"/>
      <c r="R6" s="589"/>
      <c r="S6" s="589"/>
      <c r="T6" s="590"/>
      <c r="V6" s="322"/>
      <c r="Z6" s="253" t="s">
        <v>657</v>
      </c>
    </row>
    <row r="7" spans="1:26" s="253" customFormat="1" ht="15" x14ac:dyDescent="0.25">
      <c r="A7" s="252"/>
      <c r="B7" s="255"/>
      <c r="C7" s="255"/>
      <c r="I7" s="254"/>
      <c r="J7" s="256"/>
      <c r="K7" s="256"/>
      <c r="P7" s="254"/>
      <c r="Q7" s="254"/>
      <c r="V7" s="254"/>
    </row>
    <row r="8" spans="1:26" s="258" customFormat="1" ht="30" customHeight="1" x14ac:dyDescent="0.25">
      <c r="A8" s="257"/>
      <c r="B8" s="546" t="s">
        <v>2</v>
      </c>
      <c r="C8" s="546" t="s">
        <v>3</v>
      </c>
      <c r="D8" s="546" t="s">
        <v>4</v>
      </c>
      <c r="E8" s="546" t="s">
        <v>5</v>
      </c>
      <c r="F8" s="549" t="s">
        <v>28</v>
      </c>
      <c r="G8" s="546" t="s">
        <v>213</v>
      </c>
      <c r="H8" s="546"/>
      <c r="I8" s="547" t="s">
        <v>24</v>
      </c>
      <c r="J8" s="542" t="s">
        <v>11</v>
      </c>
      <c r="K8" s="544" t="s">
        <v>35</v>
      </c>
      <c r="L8" s="545"/>
      <c r="M8" s="562" t="s">
        <v>211</v>
      </c>
      <c r="N8" s="546" t="s">
        <v>214</v>
      </c>
      <c r="O8" s="546"/>
      <c r="P8" s="547" t="s">
        <v>24</v>
      </c>
      <c r="Q8" s="549" t="s">
        <v>10</v>
      </c>
      <c r="R8" s="546" t="s">
        <v>8</v>
      </c>
      <c r="S8" s="550" t="s">
        <v>17</v>
      </c>
      <c r="T8" s="546" t="s">
        <v>231</v>
      </c>
      <c r="U8" s="542" t="s">
        <v>215</v>
      </c>
      <c r="V8" s="546" t="s">
        <v>9</v>
      </c>
      <c r="W8" s="566" t="s">
        <v>216</v>
      </c>
      <c r="X8" s="566"/>
      <c r="Y8" s="546" t="s">
        <v>623</v>
      </c>
      <c r="Z8" s="546"/>
    </row>
    <row r="9" spans="1:26" s="258" customFormat="1" ht="96.75" customHeight="1" x14ac:dyDescent="0.25">
      <c r="A9" s="257"/>
      <c r="B9" s="546"/>
      <c r="C9" s="546"/>
      <c r="D9" s="546"/>
      <c r="E9" s="546"/>
      <c r="F9" s="549"/>
      <c r="G9" s="282" t="s">
        <v>6</v>
      </c>
      <c r="H9" s="349" t="s">
        <v>7</v>
      </c>
      <c r="I9" s="548"/>
      <c r="J9" s="543"/>
      <c r="K9" s="348" t="s">
        <v>229</v>
      </c>
      <c r="L9" s="261" t="s">
        <v>230</v>
      </c>
      <c r="M9" s="563"/>
      <c r="N9" s="262" t="s">
        <v>6</v>
      </c>
      <c r="O9" s="263" t="s">
        <v>7</v>
      </c>
      <c r="P9" s="548"/>
      <c r="Q9" s="549"/>
      <c r="R9" s="546"/>
      <c r="S9" s="550"/>
      <c r="T9" s="546"/>
      <c r="U9" s="543"/>
      <c r="V9" s="546"/>
      <c r="W9" s="350" t="s">
        <v>206</v>
      </c>
      <c r="X9" s="350" t="s">
        <v>207</v>
      </c>
      <c r="Y9" s="418" t="s">
        <v>658</v>
      </c>
      <c r="Z9" s="418" t="s">
        <v>659</v>
      </c>
    </row>
    <row r="10" spans="1:26" s="253" customFormat="1" ht="156" customHeight="1" x14ac:dyDescent="0.25">
      <c r="A10" s="283">
        <v>1</v>
      </c>
      <c r="B10" s="308" t="s">
        <v>573</v>
      </c>
      <c r="C10" s="357" t="s">
        <v>574</v>
      </c>
      <c r="D10" s="308"/>
      <c r="E10" s="308" t="s">
        <v>575</v>
      </c>
      <c r="F10" s="267" t="s">
        <v>32</v>
      </c>
      <c r="G10" s="265">
        <v>4</v>
      </c>
      <c r="H10" s="265">
        <v>3</v>
      </c>
      <c r="I10" s="268" t="str">
        <f>INDEX([15]Listas!$L$4:$P$8,G10,H10)</f>
        <v>ALTA</v>
      </c>
      <c r="J10" s="358" t="s">
        <v>579</v>
      </c>
      <c r="K10" s="270" t="s">
        <v>228</v>
      </c>
      <c r="L10" s="270" t="str">
        <f>IF('[15]Evaluación de Controles'!F51="X","Probabilidad",IF('[15]Evaluación de Controles'!H51="X","Impacto",))</f>
        <v>Probabilidad</v>
      </c>
      <c r="M10" s="492">
        <v>70</v>
      </c>
      <c r="N10" s="265">
        <f>IF('[15]Evaluación de Controles'!F51="X",IF(M10&gt;75,IF(G10&gt;2,G10-2,IF(G10&gt;1,G10-1,G10)),IF(M10&gt;50,IF(G10&gt;1,G10-1,G10),G10)),G10)</f>
        <v>3</v>
      </c>
      <c r="O10" s="265">
        <f>IF('[15]Evaluación de Controles'!H51="X",IF(M10&gt;75,IF(H10&gt;2,H10-2,IF(H10&gt;1,H10-1,H10)),IF(M10&gt;50,IF(H10&gt;1,H10-1,H10),H10)),H10)</f>
        <v>2</v>
      </c>
      <c r="P10" s="268" t="str">
        <f>INDEX([15]Listas!$L$4:$P$8,N10,O10)</f>
        <v>MODERADA</v>
      </c>
      <c r="Q10" s="309" t="s">
        <v>237</v>
      </c>
      <c r="R10" s="359" t="s">
        <v>581</v>
      </c>
      <c r="S10" s="309" t="s">
        <v>18</v>
      </c>
      <c r="T10" s="308" t="s">
        <v>582</v>
      </c>
      <c r="U10" s="308" t="s">
        <v>583</v>
      </c>
      <c r="V10" s="308" t="s">
        <v>584</v>
      </c>
      <c r="W10" s="273"/>
      <c r="X10" s="291"/>
      <c r="Y10" s="439">
        <f>155/194</f>
        <v>0.7989690721649485</v>
      </c>
      <c r="Z10" s="533">
        <v>1</v>
      </c>
    </row>
    <row r="11" spans="1:26" s="253" customFormat="1" ht="184.5" customHeight="1" x14ac:dyDescent="0.25">
      <c r="A11" s="283">
        <v>2</v>
      </c>
      <c r="B11" s="308" t="s">
        <v>576</v>
      </c>
      <c r="C11" s="357" t="s">
        <v>577</v>
      </c>
      <c r="D11" s="308"/>
      <c r="E11" s="308" t="s">
        <v>578</v>
      </c>
      <c r="F11" s="267" t="s">
        <v>27</v>
      </c>
      <c r="G11" s="265">
        <v>3</v>
      </c>
      <c r="H11" s="265">
        <v>3</v>
      </c>
      <c r="I11" s="268" t="str">
        <f>INDEX([15]Listas!$L$4:$P$8,G11,H11)</f>
        <v>ALTA</v>
      </c>
      <c r="J11" s="308" t="s">
        <v>580</v>
      </c>
      <c r="K11" s="270" t="s">
        <v>228</v>
      </c>
      <c r="L11" s="270" t="str">
        <f>IF('[15]Evaluación de Controles'!F52="X","Probabilidad",IF('[15]Evaluación de Controles'!H52="X","Impacto",))</f>
        <v>Probabilidad</v>
      </c>
      <c r="M11" s="491">
        <f>'[15]Evaluación de Controles'!X52</f>
        <v>85</v>
      </c>
      <c r="N11" s="265">
        <f>IF('[15]Evaluación de Controles'!F52="X",IF(M11&gt;75,IF(G11&gt;2,G11-2,IF(G11&gt;1,G11-1,G11)),IF(M11&gt;50,IF(G11&gt;1,G11-1,G11),G11)),G11)</f>
        <v>1</v>
      </c>
      <c r="O11" s="265">
        <f>IF('[15]Evaluación de Controles'!H52="X",IF(M11&gt;75,IF(H11&gt;2,H11-2,IF(H11&gt;1,H11-1,H11)),IF(M11&gt;50,IF(H11&gt;1,H11-1,H11),H11)),H11)</f>
        <v>1</v>
      </c>
      <c r="P11" s="268" t="str">
        <f>INDEX([15]Listas!$L$4:$P$8,N11,O11)</f>
        <v>BAJA</v>
      </c>
      <c r="Q11" s="309" t="s">
        <v>237</v>
      </c>
      <c r="R11" s="359" t="s">
        <v>585</v>
      </c>
      <c r="S11" s="309" t="s">
        <v>19</v>
      </c>
      <c r="T11" s="308" t="s">
        <v>586</v>
      </c>
      <c r="U11" s="308" t="s">
        <v>587</v>
      </c>
      <c r="V11" s="308" t="s">
        <v>588</v>
      </c>
      <c r="W11" s="273"/>
      <c r="X11" s="291"/>
      <c r="Y11" s="501" t="s">
        <v>640</v>
      </c>
      <c r="Z11" s="532" t="s">
        <v>776</v>
      </c>
    </row>
    <row r="12" spans="1:26" ht="14.25" x14ac:dyDescent="0.2">
      <c r="B12" s="6"/>
      <c r="C12" s="7"/>
      <c r="D12" s="292"/>
      <c r="E12" s="9"/>
      <c r="F12" s="9"/>
      <c r="G12" s="9"/>
      <c r="H12" s="9"/>
      <c r="I12" s="10"/>
      <c r="J12" s="19"/>
      <c r="K12" s="19"/>
      <c r="L12" s="9"/>
      <c r="M12" s="11"/>
    </row>
    <row r="13" spans="1:26" x14ac:dyDescent="0.2">
      <c r="B13" s="12"/>
      <c r="C13" s="12"/>
      <c r="D13" s="12"/>
      <c r="E13" s="12"/>
      <c r="F13" s="12"/>
      <c r="G13" s="541" t="s">
        <v>97</v>
      </c>
      <c r="H13" s="541"/>
      <c r="I13" s="36">
        <f>COUNTIF(I10:I11,"BAJA")</f>
        <v>0</v>
      </c>
      <c r="J13" s="19"/>
      <c r="K13" s="19"/>
      <c r="L13" s="9"/>
      <c r="M13" s="11"/>
      <c r="N13" s="541" t="s">
        <v>97</v>
      </c>
      <c r="O13" s="541"/>
      <c r="P13" s="36">
        <f>COUNTIF(P10:P11,"BAJA")</f>
        <v>1</v>
      </c>
    </row>
    <row r="14" spans="1:26" x14ac:dyDescent="0.2">
      <c r="B14" s="571"/>
      <c r="C14" s="571"/>
      <c r="D14" s="571"/>
      <c r="E14" s="571"/>
      <c r="F14" s="571"/>
      <c r="G14" s="541" t="s">
        <v>99</v>
      </c>
      <c r="H14" s="541"/>
      <c r="I14" s="36">
        <f>COUNTIF(I10:I11,"MODERADA")</f>
        <v>0</v>
      </c>
      <c r="J14" s="19"/>
      <c r="K14" s="19"/>
      <c r="L14" s="9"/>
      <c r="M14" s="12"/>
      <c r="N14" s="541" t="s">
        <v>99</v>
      </c>
      <c r="O14" s="541"/>
      <c r="P14" s="36">
        <f>COUNTIF(P10:P11,"MODERADA")</f>
        <v>1</v>
      </c>
    </row>
    <row r="15" spans="1:26" x14ac:dyDescent="0.2">
      <c r="B15" s="9"/>
      <c r="C15" s="9"/>
      <c r="D15" s="9"/>
      <c r="E15" s="9"/>
      <c r="F15" s="9"/>
      <c r="G15" s="541" t="s">
        <v>98</v>
      </c>
      <c r="H15" s="541"/>
      <c r="I15" s="36">
        <f>COUNTIF(I10:I11,"ALTA")</f>
        <v>2</v>
      </c>
      <c r="J15" s="19"/>
      <c r="K15" s="19"/>
      <c r="L15" s="9"/>
      <c r="M15" s="9"/>
      <c r="N15" s="541" t="s">
        <v>98</v>
      </c>
      <c r="O15" s="541"/>
      <c r="P15" s="36">
        <f>COUNTIF(P10:P11,"ALTA")</f>
        <v>0</v>
      </c>
      <c r="Q15" s="229"/>
      <c r="V15" s="229"/>
    </row>
    <row r="16" spans="1:26" ht="15.75" x14ac:dyDescent="0.2">
      <c r="B16" s="341"/>
      <c r="C16" s="9"/>
      <c r="D16" s="9"/>
      <c r="E16" s="340"/>
      <c r="F16" s="9"/>
      <c r="G16" s="541" t="s">
        <v>100</v>
      </c>
      <c r="H16" s="541"/>
      <c r="I16" s="36">
        <f>COUNTIF(I10:I11,"EXTREMA")</f>
        <v>0</v>
      </c>
      <c r="J16" s="19"/>
      <c r="K16" s="19"/>
      <c r="L16" s="9"/>
      <c r="M16" s="9"/>
      <c r="N16" s="541" t="s">
        <v>100</v>
      </c>
      <c r="O16" s="541"/>
      <c r="P16" s="36">
        <f>COUNTIF(P10:P11,"EXTREMA")</f>
        <v>0</v>
      </c>
      <c r="Q16" s="229"/>
      <c r="V16" s="229"/>
    </row>
    <row r="17" spans="2:22" x14ac:dyDescent="0.2">
      <c r="B17" s="9"/>
      <c r="C17" s="9"/>
      <c r="D17" s="9"/>
      <c r="E17" s="9"/>
      <c r="G17" s="9"/>
      <c r="H17" s="9"/>
      <c r="I17" s="10"/>
      <c r="J17" s="19"/>
      <c r="K17" s="19"/>
      <c r="L17" s="9"/>
      <c r="M17" s="9" t="s">
        <v>21</v>
      </c>
      <c r="P17" s="229"/>
      <c r="Q17" s="229"/>
      <c r="V17" s="229"/>
    </row>
    <row r="18" spans="2:22" x14ac:dyDescent="0.2">
      <c r="D18" s="9"/>
      <c r="E18" s="9"/>
      <c r="G18" s="9"/>
      <c r="H18" s="9"/>
      <c r="I18" s="10"/>
      <c r="J18" s="19"/>
      <c r="K18" s="19"/>
      <c r="L18" s="9"/>
      <c r="M18" s="9"/>
      <c r="P18" s="229"/>
      <c r="Q18" s="229"/>
      <c r="V18" s="229"/>
    </row>
    <row r="19" spans="2:22" ht="15" x14ac:dyDescent="0.2">
      <c r="B19" s="367"/>
      <c r="C19" s="368"/>
      <c r="D19" s="362"/>
      <c r="E19" s="233"/>
      <c r="F19" s="233"/>
      <c r="G19" s="233"/>
      <c r="H19" s="10"/>
      <c r="J19" s="19"/>
      <c r="K19" s="19"/>
      <c r="L19" s="9"/>
      <c r="M19" s="9"/>
      <c r="P19" s="229"/>
      <c r="Q19" s="229"/>
      <c r="V19" s="229"/>
    </row>
    <row r="20" spans="2:22" ht="15" x14ac:dyDescent="0.2">
      <c r="B20" s="363" t="s">
        <v>716</v>
      </c>
      <c r="C20" s="366"/>
      <c r="D20" s="364"/>
      <c r="E20" s="365" t="s">
        <v>654</v>
      </c>
      <c r="F20" s="365"/>
      <c r="G20" s="365"/>
      <c r="H20" s="10"/>
      <c r="P20" s="229"/>
      <c r="Q20" s="229"/>
      <c r="V20" s="229"/>
    </row>
    <row r="21" spans="2:22" ht="15" x14ac:dyDescent="0.2">
      <c r="B21" s="232" t="s">
        <v>244</v>
      </c>
      <c r="C21" s="171"/>
      <c r="D21" s="172"/>
      <c r="E21" s="232" t="s">
        <v>245</v>
      </c>
      <c r="F21" s="171"/>
      <c r="G21" s="14"/>
      <c r="H21" s="10"/>
      <c r="P21" s="229"/>
      <c r="Q21" s="229"/>
      <c r="V21" s="229"/>
    </row>
    <row r="22" spans="2:22" x14ac:dyDescent="0.2">
      <c r="D22" s="9"/>
      <c r="H22" s="9"/>
      <c r="I22" s="10"/>
      <c r="P22" s="229"/>
      <c r="Q22" s="229"/>
      <c r="V22" s="229"/>
    </row>
    <row r="23" spans="2:22" x14ac:dyDescent="0.2">
      <c r="D23" s="9"/>
      <c r="H23" s="9"/>
      <c r="I23" s="10"/>
      <c r="P23" s="229"/>
      <c r="Q23" s="229"/>
      <c r="V23" s="229"/>
    </row>
    <row r="24" spans="2:22" x14ac:dyDescent="0.2">
      <c r="D24" s="9"/>
      <c r="H24" s="9"/>
      <c r="I24" s="10"/>
      <c r="P24" s="229"/>
      <c r="Q24" s="229"/>
      <c r="V24" s="229"/>
    </row>
    <row r="25" spans="2:22" x14ac:dyDescent="0.2">
      <c r="D25" s="9"/>
      <c r="H25" s="9"/>
      <c r="I25" s="10"/>
      <c r="P25" s="229"/>
      <c r="Q25" s="229"/>
      <c r="V25" s="229"/>
    </row>
    <row r="26" spans="2:22" x14ac:dyDescent="0.2">
      <c r="D26" s="9"/>
      <c r="H26" s="9"/>
      <c r="I26" s="10"/>
      <c r="P26" s="229"/>
      <c r="Q26" s="229"/>
      <c r="V26" s="229"/>
    </row>
    <row r="27" spans="2:22" x14ac:dyDescent="0.2">
      <c r="D27" s="9"/>
      <c r="H27" s="9"/>
      <c r="I27" s="10"/>
      <c r="P27" s="229"/>
      <c r="Q27" s="229"/>
      <c r="V27" s="229"/>
    </row>
    <row r="28" spans="2:22" x14ac:dyDescent="0.2">
      <c r="D28" s="9"/>
      <c r="P28" s="229"/>
      <c r="Q28" s="229"/>
      <c r="V28" s="229"/>
    </row>
    <row r="29" spans="2:22" x14ac:dyDescent="0.2">
      <c r="D29" s="9"/>
      <c r="P29" s="229"/>
      <c r="Q29" s="229"/>
      <c r="V29" s="229"/>
    </row>
    <row r="30" spans="2:22" x14ac:dyDescent="0.2">
      <c r="D30" s="9"/>
      <c r="P30" s="229"/>
      <c r="Q30" s="229"/>
      <c r="V30" s="229"/>
    </row>
    <row r="31" spans="2:22" x14ac:dyDescent="0.2">
      <c r="D31" s="9"/>
      <c r="I31" s="229"/>
      <c r="J31" s="229"/>
      <c r="K31" s="229"/>
      <c r="P31" s="229"/>
      <c r="Q31" s="229"/>
      <c r="V31" s="229"/>
    </row>
    <row r="32" spans="2:22" x14ac:dyDescent="0.2">
      <c r="D32" s="9"/>
      <c r="I32" s="229"/>
      <c r="J32" s="229"/>
      <c r="K32" s="22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row r="54" spans="4:22" x14ac:dyDescent="0.2">
      <c r="D54" s="9"/>
      <c r="I54" s="229"/>
      <c r="J54" s="229"/>
      <c r="K54" s="229"/>
      <c r="P54" s="229"/>
      <c r="Q54" s="229"/>
      <c r="V54" s="229"/>
    </row>
  </sheetData>
  <mergeCells count="36">
    <mergeCell ref="Y8:Z8"/>
    <mergeCell ref="B6:C6"/>
    <mergeCell ref="E6:T6"/>
    <mergeCell ref="B1:C3"/>
    <mergeCell ref="D1:U3"/>
    <mergeCell ref="B5:C5"/>
    <mergeCell ref="E5:O5"/>
    <mergeCell ref="P5:Q5"/>
    <mergeCell ref="B14:F14"/>
    <mergeCell ref="G14:H14"/>
    <mergeCell ref="N14:O14"/>
    <mergeCell ref="Q8:Q9"/>
    <mergeCell ref="R8:R9"/>
    <mergeCell ref="I8:I9"/>
    <mergeCell ref="J8:J9"/>
    <mergeCell ref="K8:L8"/>
    <mergeCell ref="M8:M9"/>
    <mergeCell ref="N8:O8"/>
    <mergeCell ref="P8:P9"/>
    <mergeCell ref="B8:B9"/>
    <mergeCell ref="C8:C9"/>
    <mergeCell ref="D8:D9"/>
    <mergeCell ref="E8:E9"/>
    <mergeCell ref="F8:F9"/>
    <mergeCell ref="G15:H15"/>
    <mergeCell ref="N15:O15"/>
    <mergeCell ref="G16:H16"/>
    <mergeCell ref="N16:O16"/>
    <mergeCell ref="W8:X8"/>
    <mergeCell ref="G13:H13"/>
    <mergeCell ref="N13:O13"/>
    <mergeCell ref="S8:S9"/>
    <mergeCell ref="T8:T9"/>
    <mergeCell ref="U8:U9"/>
    <mergeCell ref="V8:V9"/>
    <mergeCell ref="G8:H8"/>
  </mergeCells>
  <conditionalFormatting sqref="I7 P7 P12:P1048576 I12:I18 I22:I1048576 H19:H21">
    <cfRule type="cellIs" dxfId="74" priority="90" operator="equal">
      <formula>"BAJA"</formula>
    </cfRule>
  </conditionalFormatting>
  <conditionalFormatting sqref="I7 P7 P12:P1048576 I12:I18 I22:I1048576 H19:H21">
    <cfRule type="cellIs" dxfId="73" priority="87" operator="equal">
      <formula>"EXTREMA"</formula>
    </cfRule>
    <cfRule type="cellIs" dxfId="72" priority="88" operator="equal">
      <formula>"ALTA"</formula>
    </cfRule>
    <cfRule type="cellIs" dxfId="71" priority="89" operator="equal">
      <formula>"MODERADA"</formula>
    </cfRule>
  </conditionalFormatting>
  <conditionalFormatting sqref="F12:G18 F7:G7 N7:O7 N12:O1048576 F22:G1048576">
    <cfRule type="colorScale" priority="86">
      <colorScale>
        <cfvo type="num" val="1"/>
        <cfvo type="num" val="3"/>
        <cfvo type="num" val="5"/>
        <color theme="6" tint="-0.499984740745262"/>
        <color rgb="FFFFFF00"/>
        <color rgb="FFC00000"/>
      </colorScale>
    </cfRule>
  </conditionalFormatting>
  <conditionalFormatting sqref="I13:I16">
    <cfRule type="cellIs" dxfId="70" priority="85" operator="equal">
      <formula>"BAJA"</formula>
    </cfRule>
  </conditionalFormatting>
  <conditionalFormatting sqref="I13:I16">
    <cfRule type="cellIs" dxfId="69" priority="82" operator="equal">
      <formula>"EXTREMA"</formula>
    </cfRule>
    <cfRule type="cellIs" dxfId="68" priority="83" operator="equal">
      <formula>"ALTA"</formula>
    </cfRule>
    <cfRule type="cellIs" dxfId="67" priority="84" operator="equal">
      <formula>"MODERADA"</formula>
    </cfRule>
  </conditionalFormatting>
  <conditionalFormatting sqref="G13:G16">
    <cfRule type="colorScale" priority="81">
      <colorScale>
        <cfvo type="num" val="1"/>
        <cfvo type="num" val="3"/>
        <cfvo type="num" val="5"/>
        <color theme="6" tint="-0.499984740745262"/>
        <color rgb="FFFFFF00"/>
        <color rgb="FFC00000"/>
      </colorScale>
    </cfRule>
  </conditionalFormatting>
  <conditionalFormatting sqref="I13:I16">
    <cfRule type="cellIs" dxfId="66" priority="80" operator="equal">
      <formula>"BAJA"</formula>
    </cfRule>
  </conditionalFormatting>
  <conditionalFormatting sqref="I13:I16">
    <cfRule type="cellIs" dxfId="65" priority="77" operator="equal">
      <formula>"EXTREMA"</formula>
    </cfRule>
    <cfRule type="cellIs" dxfId="64" priority="78" operator="equal">
      <formula>"ALTA"</formula>
    </cfRule>
    <cfRule type="cellIs" dxfId="63" priority="79" operator="equal">
      <formula>"MODERADA"</formula>
    </cfRule>
  </conditionalFormatting>
  <conditionalFormatting sqref="G13:G16">
    <cfRule type="colorScale" priority="76">
      <colorScale>
        <cfvo type="num" val="1"/>
        <cfvo type="num" val="3"/>
        <cfvo type="num" val="5"/>
        <color theme="6" tint="-0.499984740745262"/>
        <color rgb="FFFFFF00"/>
        <color rgb="FFC00000"/>
      </colorScale>
    </cfRule>
  </conditionalFormatting>
  <conditionalFormatting sqref="I13:I16">
    <cfRule type="cellIs" dxfId="62" priority="75" operator="equal">
      <formula>"BAJA"</formula>
    </cfRule>
  </conditionalFormatting>
  <conditionalFormatting sqref="I13:I16">
    <cfRule type="cellIs" dxfId="61" priority="72" operator="equal">
      <formula>"EXTREMA"</formula>
    </cfRule>
    <cfRule type="cellIs" dxfId="60" priority="73" operator="equal">
      <formula>"ALTA"</formula>
    </cfRule>
    <cfRule type="cellIs" dxfId="59" priority="74" operator="equal">
      <formula>"MODERADA"</formula>
    </cfRule>
  </conditionalFormatting>
  <conditionalFormatting sqref="G13:G16">
    <cfRule type="colorScale" priority="71">
      <colorScale>
        <cfvo type="num" val="1"/>
        <cfvo type="num" val="3"/>
        <cfvo type="num" val="5"/>
        <color theme="6" tint="-0.499984740745262"/>
        <color rgb="FFFFFF00"/>
        <color rgb="FFC00000"/>
      </colorScale>
    </cfRule>
  </conditionalFormatting>
  <conditionalFormatting sqref="I13:I16">
    <cfRule type="cellIs" dxfId="58" priority="70" operator="equal">
      <formula>"BAJA"</formula>
    </cfRule>
  </conditionalFormatting>
  <conditionalFormatting sqref="I13:I16">
    <cfRule type="cellIs" dxfId="57" priority="67" operator="equal">
      <formula>"EXTREMA"</formula>
    </cfRule>
    <cfRule type="cellIs" dxfId="56" priority="68" operator="equal">
      <formula>"ALTA"</formula>
    </cfRule>
    <cfRule type="cellIs" dxfId="55" priority="69" operator="equal">
      <formula>"MODERADA"</formula>
    </cfRule>
  </conditionalFormatting>
  <conditionalFormatting sqref="G13:G16">
    <cfRule type="colorScale" priority="66">
      <colorScale>
        <cfvo type="num" val="1"/>
        <cfvo type="num" val="3"/>
        <cfvo type="num" val="5"/>
        <color theme="6" tint="-0.499984740745262"/>
        <color rgb="FFFFFF00"/>
        <color rgb="FFC00000"/>
      </colorScale>
    </cfRule>
  </conditionalFormatting>
  <conditionalFormatting sqref="I13:I16">
    <cfRule type="cellIs" dxfId="54" priority="65" operator="equal">
      <formula>"BAJA"</formula>
    </cfRule>
  </conditionalFormatting>
  <conditionalFormatting sqref="I13:I16">
    <cfRule type="cellIs" dxfId="53" priority="62" operator="equal">
      <formula>"EXTREMA"</formula>
    </cfRule>
    <cfRule type="cellIs" dxfId="52" priority="63" operator="equal">
      <formula>"ALTA"</formula>
    </cfRule>
    <cfRule type="cellIs" dxfId="51" priority="64" operator="equal">
      <formula>"MODERADA"</formula>
    </cfRule>
  </conditionalFormatting>
  <conditionalFormatting sqref="G13:G16">
    <cfRule type="colorScale" priority="61">
      <colorScale>
        <cfvo type="num" val="1"/>
        <cfvo type="num" val="3"/>
        <cfvo type="num" val="5"/>
        <color theme="6" tint="-0.499984740745262"/>
        <color rgb="FFFFFF00"/>
        <color rgb="FFC00000"/>
      </colorScale>
    </cfRule>
  </conditionalFormatting>
  <conditionalFormatting sqref="I13:I16">
    <cfRule type="cellIs" dxfId="50" priority="60" operator="equal">
      <formula>"BAJA"</formula>
    </cfRule>
  </conditionalFormatting>
  <conditionalFormatting sqref="I13:I16">
    <cfRule type="cellIs" dxfId="49" priority="57" operator="equal">
      <formula>"EXTREMA"</formula>
    </cfRule>
    <cfRule type="cellIs" dxfId="48" priority="58" operator="equal">
      <formula>"ALTA"</formula>
    </cfRule>
    <cfRule type="cellIs" dxfId="47" priority="59" operator="equal">
      <formula>"MODERADA"</formula>
    </cfRule>
  </conditionalFormatting>
  <conditionalFormatting sqref="P13:P16">
    <cfRule type="cellIs" dxfId="46" priority="56" operator="equal">
      <formula>"BAJA"</formula>
    </cfRule>
  </conditionalFormatting>
  <conditionalFormatting sqref="P13:P16">
    <cfRule type="cellIs" dxfId="45" priority="53" operator="equal">
      <formula>"EXTREMA"</formula>
    </cfRule>
    <cfRule type="cellIs" dxfId="44" priority="54" operator="equal">
      <formula>"ALTA"</formula>
    </cfRule>
    <cfRule type="cellIs" dxfId="43" priority="55" operator="equal">
      <formula>"MODERADA"</formula>
    </cfRule>
  </conditionalFormatting>
  <conditionalFormatting sqref="N13:N16">
    <cfRule type="colorScale" priority="52">
      <colorScale>
        <cfvo type="num" val="1"/>
        <cfvo type="num" val="3"/>
        <cfvo type="num" val="5"/>
        <color theme="6" tint="-0.499984740745262"/>
        <color rgb="FFFFFF00"/>
        <color rgb="FFC00000"/>
      </colorScale>
    </cfRule>
  </conditionalFormatting>
  <conditionalFormatting sqref="P13:P16">
    <cfRule type="cellIs" dxfId="42" priority="51" operator="equal">
      <formula>"BAJA"</formula>
    </cfRule>
  </conditionalFormatting>
  <conditionalFormatting sqref="P13:P16">
    <cfRule type="cellIs" dxfId="41" priority="48" operator="equal">
      <formula>"EXTREMA"</formula>
    </cfRule>
    <cfRule type="cellIs" dxfId="40" priority="49" operator="equal">
      <formula>"ALTA"</formula>
    </cfRule>
    <cfRule type="cellIs" dxfId="39" priority="50" operator="equal">
      <formula>"MODERADA"</formula>
    </cfRule>
  </conditionalFormatting>
  <conditionalFormatting sqref="N13:N16">
    <cfRule type="colorScale" priority="47">
      <colorScale>
        <cfvo type="num" val="1"/>
        <cfvo type="num" val="3"/>
        <cfvo type="num" val="5"/>
        <color theme="6" tint="-0.499984740745262"/>
        <color rgb="FFFFFF00"/>
        <color rgb="FFC00000"/>
      </colorScale>
    </cfRule>
  </conditionalFormatting>
  <conditionalFormatting sqref="P13:P16">
    <cfRule type="cellIs" dxfId="38" priority="46" operator="equal">
      <formula>"BAJA"</formula>
    </cfRule>
  </conditionalFormatting>
  <conditionalFormatting sqref="P13:P16">
    <cfRule type="cellIs" dxfId="37" priority="43" operator="equal">
      <formula>"EXTREMA"</formula>
    </cfRule>
    <cfRule type="cellIs" dxfId="36" priority="44" operator="equal">
      <formula>"ALTA"</formula>
    </cfRule>
    <cfRule type="cellIs" dxfId="35" priority="45" operator="equal">
      <formula>"MODERADA"</formula>
    </cfRule>
  </conditionalFormatting>
  <conditionalFormatting sqref="N13:N16">
    <cfRule type="colorScale" priority="42">
      <colorScale>
        <cfvo type="num" val="1"/>
        <cfvo type="num" val="3"/>
        <cfvo type="num" val="5"/>
        <color theme="6" tint="-0.499984740745262"/>
        <color rgb="FFFFFF00"/>
        <color rgb="FFC00000"/>
      </colorScale>
    </cfRule>
  </conditionalFormatting>
  <conditionalFormatting sqref="P13:P16">
    <cfRule type="cellIs" dxfId="34" priority="41" operator="equal">
      <formula>"BAJA"</formula>
    </cfRule>
  </conditionalFormatting>
  <conditionalFormatting sqref="P13:P16">
    <cfRule type="cellIs" dxfId="33" priority="38" operator="equal">
      <formula>"EXTREMA"</formula>
    </cfRule>
    <cfRule type="cellIs" dxfId="32" priority="39" operator="equal">
      <formula>"ALTA"</formula>
    </cfRule>
    <cfRule type="cellIs" dxfId="31" priority="40" operator="equal">
      <formula>"MODERADA"</formula>
    </cfRule>
  </conditionalFormatting>
  <conditionalFormatting sqref="N13:N16">
    <cfRule type="colorScale" priority="37">
      <colorScale>
        <cfvo type="num" val="1"/>
        <cfvo type="num" val="3"/>
        <cfvo type="num" val="5"/>
        <color theme="6" tint="-0.499984740745262"/>
        <color rgb="FFFFFF00"/>
        <color rgb="FFC00000"/>
      </colorScale>
    </cfRule>
  </conditionalFormatting>
  <conditionalFormatting sqref="P13:P16">
    <cfRule type="cellIs" dxfId="30" priority="36" operator="equal">
      <formula>"BAJA"</formula>
    </cfRule>
  </conditionalFormatting>
  <conditionalFormatting sqref="P13:P16">
    <cfRule type="cellIs" dxfId="29" priority="33" operator="equal">
      <formula>"EXTREMA"</formula>
    </cfRule>
    <cfRule type="cellIs" dxfId="28" priority="34" operator="equal">
      <formula>"ALTA"</formula>
    </cfRule>
    <cfRule type="cellIs" dxfId="27" priority="35" operator="equal">
      <formula>"MODERADA"</formula>
    </cfRule>
  </conditionalFormatting>
  <conditionalFormatting sqref="N13:N16">
    <cfRule type="colorScale" priority="32">
      <colorScale>
        <cfvo type="num" val="1"/>
        <cfvo type="num" val="3"/>
        <cfvo type="num" val="5"/>
        <color theme="6" tint="-0.499984740745262"/>
        <color rgb="FFFFFF00"/>
        <color rgb="FFC00000"/>
      </colorScale>
    </cfRule>
  </conditionalFormatting>
  <conditionalFormatting sqref="P13:P16">
    <cfRule type="cellIs" dxfId="26" priority="31" operator="equal">
      <formula>"BAJA"</formula>
    </cfRule>
  </conditionalFormatting>
  <conditionalFormatting sqref="P13:P16">
    <cfRule type="cellIs" dxfId="25" priority="28" operator="equal">
      <formula>"EXTREMA"</formula>
    </cfRule>
    <cfRule type="cellIs" dxfId="24" priority="29" operator="equal">
      <formula>"ALTA"</formula>
    </cfRule>
    <cfRule type="cellIs" dxfId="23" priority="30" operator="equal">
      <formula>"MODERADA"</formula>
    </cfRule>
  </conditionalFormatting>
  <conditionalFormatting sqref="I8:I9 P8:P9">
    <cfRule type="cellIs" dxfId="22" priority="18" operator="equal">
      <formula>"BAJA"</formula>
    </cfRule>
  </conditionalFormatting>
  <conditionalFormatting sqref="I8:I9 P8:P9">
    <cfRule type="cellIs" dxfId="21" priority="15" operator="equal">
      <formula>"EXTREMA"</formula>
    </cfRule>
    <cfRule type="cellIs" dxfId="20" priority="16" operator="equal">
      <formula>"ALTA"</formula>
    </cfRule>
    <cfRule type="cellIs" dxfId="19" priority="17" operator="equal">
      <formula>"MODERADA"</formula>
    </cfRule>
  </conditionalFormatting>
  <conditionalFormatting sqref="G8:H9 N8:O9">
    <cfRule type="colorScale" priority="14">
      <colorScale>
        <cfvo type="num" val="1"/>
        <cfvo type="num" val="3"/>
        <cfvo type="num" val="5"/>
        <color theme="6" tint="-0.499984740745262"/>
        <color rgb="FFFFFF00"/>
        <color rgb="FFC00000"/>
      </colorScale>
    </cfRule>
  </conditionalFormatting>
  <conditionalFormatting sqref="F4:G4 N4:O4">
    <cfRule type="colorScale" priority="13">
      <colorScale>
        <cfvo type="num" val="1"/>
        <cfvo type="num" val="3"/>
        <cfvo type="num" val="5"/>
        <color theme="6" tint="-0.499984740745262"/>
        <color rgb="FFFFFF00"/>
        <color rgb="FFC00000"/>
      </colorScale>
    </cfRule>
  </conditionalFormatting>
  <conditionalFormatting sqref="F19:G21">
    <cfRule type="colorScale" priority="11">
      <colorScale>
        <cfvo type="num" val="1"/>
        <cfvo type="num" val="3"/>
        <cfvo type="num" val="5"/>
        <color theme="6" tint="-0.499984740745262"/>
        <color rgb="FFFFFF00"/>
        <color rgb="FFC00000"/>
      </colorScale>
    </cfRule>
  </conditionalFormatting>
  <conditionalFormatting sqref="G10:H11">
    <cfRule type="colorScale" priority="10">
      <colorScale>
        <cfvo type="num" val="1"/>
        <cfvo type="num" val="3"/>
        <cfvo type="num" val="5"/>
        <color theme="6" tint="-0.499984740745262"/>
        <color rgb="FFFFFF00"/>
        <color rgb="FFC00000"/>
      </colorScale>
    </cfRule>
  </conditionalFormatting>
  <conditionalFormatting sqref="I10:I11">
    <cfRule type="cellIs" dxfId="18" priority="6" operator="equal">
      <formula>"EXTREMA"</formula>
    </cfRule>
    <cfRule type="cellIs" dxfId="17" priority="7" operator="equal">
      <formula>"ALTA"</formula>
    </cfRule>
    <cfRule type="cellIs" dxfId="16" priority="8" operator="equal">
      <formula>"MODERADA"</formula>
    </cfRule>
    <cfRule type="cellIs" dxfId="15" priority="9" operator="equal">
      <formula>"BAJA"</formula>
    </cfRule>
  </conditionalFormatting>
  <conditionalFormatting sqref="P10:P11">
    <cfRule type="cellIs" dxfId="14" priority="2" operator="equal">
      <formula>"EXTREMA"</formula>
    </cfRule>
    <cfRule type="cellIs" dxfId="13" priority="3" operator="equal">
      <formula>"ALTA"</formula>
    </cfRule>
    <cfRule type="cellIs" dxfId="12" priority="4" operator="equal">
      <formula>"MODERADA"</formula>
    </cfRule>
    <cfRule type="cellIs" dxfId="11" priority="5" operator="equal">
      <formula>"BAJA"</formula>
    </cfRule>
  </conditionalFormatting>
  <conditionalFormatting sqref="N10:O11">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74803149606299213" bottom="0.55118110236220474" header="0.31496062992125984" footer="0.31496062992125984"/>
  <pageSetup paperSize="5" scale="50" fitToHeight="99"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E00-000000000000}">
          <x14:formula1>
            <xm:f>'/Volumes/GoogleDrive/Mi unidad/COVID REPS/FEBRERO 2021/04 FEBRERO/D:\PLANEACION RQV 2020\SEGUIMIENTO MAPA DE RIESGOS\SEGUIMIENTO MAPA DE RIESGOS\EVALUACIÓN I SEMESTRE\SEGUIMIENTO MAPA DE RIESGOS\SISTEMAS\[EVALUACIÓN LUZ EMILIA INFORMACIÓN 2019.xlsx]Listas'!#REF!</xm:f>
          </x14:formula1>
          <xm:sqref>F10:F11</xm:sqref>
        </x14:dataValidation>
        <x14:dataValidation type="list" showInputMessage="1" showErrorMessage="1" xr:uid="{00000000-0002-0000-0E00-000001000000}">
          <x14:formula1>
            <xm:f>'/Volumes/GoogleDrive/Mi unidad/COVID REPS/FEBRERO 2021/04 FEBRERO/D:\PLANEACION RQV 2020\SEGUIMIENTO MAPA DE RIESGOS\SEGUIMIENTO MAPA DE RIESGOS\EVALUACIÓN I SEMESTRE\SEGUIMIENTO MAPA DE RIESGOS\SISTEMAS\[EVALUACIÓN LUZ EMILIA INFORMACIÓN 2019.xlsx]Listas'!#REF!</xm:f>
          </x14:formula1>
          <xm:sqref>K10:K11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58"/>
  <sheetViews>
    <sheetView tabSelected="1" zoomScaleNormal="100" workbookViewId="0">
      <pane ySplit="3" topLeftCell="A4" activePane="bottomLeft" state="frozen"/>
      <selection activeCell="E1" sqref="E1"/>
      <selection pane="bottomLeft" activeCell="A59" sqref="A59"/>
    </sheetView>
  </sheetViews>
  <sheetFormatPr baseColWidth="10" defaultColWidth="11.42578125" defaultRowHeight="15" x14ac:dyDescent="0.25"/>
  <cols>
    <col min="1" max="1" width="2.7109375" style="443" customWidth="1"/>
    <col min="2" max="2" width="6.7109375" style="452" customWidth="1"/>
    <col min="3" max="3" width="6.7109375" style="170" customWidth="1"/>
    <col min="4" max="4" width="35.42578125" style="171" customWidth="1"/>
    <col min="5" max="5" width="35.42578125" style="172" customWidth="1"/>
    <col min="6" max="9" width="4.7109375" style="14" customWidth="1"/>
    <col min="10" max="10" width="6.42578125" style="14" customWidth="1"/>
    <col min="11" max="11" width="7" style="14" customWidth="1"/>
    <col min="12" max="23" width="4.7109375" style="14" customWidth="1"/>
    <col min="24" max="24" width="8.7109375" style="169" customWidth="1"/>
    <col min="25" max="25" width="46.140625" style="14" customWidth="1"/>
    <col min="26" max="16384" width="11.42578125" style="14"/>
  </cols>
  <sheetData>
    <row r="1" spans="1:25" s="171" customFormat="1" ht="112.5" customHeight="1" x14ac:dyDescent="0.25">
      <c r="A1" s="442"/>
      <c r="B1" s="620" t="s">
        <v>662</v>
      </c>
      <c r="C1" s="620"/>
      <c r="D1" s="620"/>
      <c r="E1" s="620"/>
      <c r="F1" s="619" t="s">
        <v>663</v>
      </c>
      <c r="G1" s="619"/>
      <c r="H1" s="619" t="s">
        <v>664</v>
      </c>
      <c r="I1" s="619"/>
      <c r="J1" s="619" t="s">
        <v>665</v>
      </c>
      <c r="K1" s="619"/>
      <c r="L1" s="619" t="s">
        <v>666</v>
      </c>
      <c r="M1" s="619"/>
      <c r="N1" s="619" t="s">
        <v>667</v>
      </c>
      <c r="O1" s="619"/>
      <c r="P1" s="619" t="s">
        <v>668</v>
      </c>
      <c r="Q1" s="619"/>
      <c r="R1" s="619" t="s">
        <v>669</v>
      </c>
      <c r="S1" s="619"/>
      <c r="T1" s="619" t="s">
        <v>670</v>
      </c>
      <c r="U1" s="619"/>
      <c r="V1" s="619" t="s">
        <v>671</v>
      </c>
      <c r="W1" s="619"/>
      <c r="X1" s="621" t="s">
        <v>750</v>
      </c>
      <c r="Y1" s="621"/>
    </row>
    <row r="2" spans="1:25" s="171" customFormat="1" ht="12.75" x14ac:dyDescent="0.25">
      <c r="A2" s="442"/>
      <c r="B2" s="629" t="s">
        <v>686</v>
      </c>
      <c r="C2" s="630" t="s">
        <v>672</v>
      </c>
      <c r="D2" s="631" t="s">
        <v>673</v>
      </c>
      <c r="E2" s="631" t="s">
        <v>674</v>
      </c>
      <c r="F2" s="628" t="s">
        <v>203</v>
      </c>
      <c r="G2" s="628"/>
      <c r="H2" s="628" t="s">
        <v>203</v>
      </c>
      <c r="I2" s="628"/>
      <c r="J2" s="628" t="s">
        <v>675</v>
      </c>
      <c r="K2" s="628"/>
      <c r="L2" s="628" t="s">
        <v>676</v>
      </c>
      <c r="M2" s="628"/>
      <c r="N2" s="628" t="s">
        <v>675</v>
      </c>
      <c r="O2" s="628"/>
      <c r="P2" s="628" t="s">
        <v>677</v>
      </c>
      <c r="Q2" s="628"/>
      <c r="R2" s="628" t="s">
        <v>675</v>
      </c>
      <c r="S2" s="628"/>
      <c r="T2" s="628" t="s">
        <v>677</v>
      </c>
      <c r="U2" s="628"/>
      <c r="V2" s="628" t="s">
        <v>678</v>
      </c>
      <c r="W2" s="628"/>
      <c r="X2" s="622" t="s">
        <v>679</v>
      </c>
      <c r="Y2" s="624" t="s">
        <v>680</v>
      </c>
    </row>
    <row r="3" spans="1:25" s="169" customFormat="1" x14ac:dyDescent="0.25">
      <c r="A3" s="170"/>
      <c r="B3" s="629"/>
      <c r="C3" s="630"/>
      <c r="D3" s="631"/>
      <c r="E3" s="631"/>
      <c r="F3" s="438" t="s">
        <v>681</v>
      </c>
      <c r="G3" s="438" t="s">
        <v>682</v>
      </c>
      <c r="H3" s="438" t="s">
        <v>681</v>
      </c>
      <c r="I3" s="438" t="s">
        <v>682</v>
      </c>
      <c r="J3" s="438" t="s">
        <v>681</v>
      </c>
      <c r="K3" s="438" t="s">
        <v>682</v>
      </c>
      <c r="L3" s="438" t="s">
        <v>681</v>
      </c>
      <c r="M3" s="438" t="s">
        <v>682</v>
      </c>
      <c r="N3" s="438" t="s">
        <v>681</v>
      </c>
      <c r="O3" s="438" t="s">
        <v>682</v>
      </c>
      <c r="P3" s="438" t="s">
        <v>681</v>
      </c>
      <c r="Q3" s="438" t="s">
        <v>682</v>
      </c>
      <c r="R3" s="438" t="s">
        <v>681</v>
      </c>
      <c r="S3" s="438" t="s">
        <v>682</v>
      </c>
      <c r="T3" s="438" t="s">
        <v>681</v>
      </c>
      <c r="U3" s="438" t="s">
        <v>682</v>
      </c>
      <c r="V3" s="438" t="s">
        <v>681</v>
      </c>
      <c r="W3" s="438" t="s">
        <v>682</v>
      </c>
      <c r="X3" s="623"/>
      <c r="Y3" s="625"/>
    </row>
    <row r="4" spans="1:25" ht="71.25" x14ac:dyDescent="0.25">
      <c r="B4" s="626" t="s">
        <v>687</v>
      </c>
      <c r="C4" s="444">
        <v>1.1000000000000001</v>
      </c>
      <c r="D4" s="265" t="s">
        <v>343</v>
      </c>
      <c r="E4" s="265" t="s">
        <v>350</v>
      </c>
      <c r="F4" s="440" t="s">
        <v>683</v>
      </c>
      <c r="G4" s="440"/>
      <c r="H4" s="440" t="s">
        <v>683</v>
      </c>
      <c r="I4" s="440"/>
      <c r="J4" s="440" t="s">
        <v>683</v>
      </c>
      <c r="K4" s="440"/>
      <c r="L4" s="440" t="s">
        <v>683</v>
      </c>
      <c r="M4" s="440"/>
      <c r="N4" s="440"/>
      <c r="O4" s="440" t="s">
        <v>683</v>
      </c>
      <c r="P4" s="440" t="s">
        <v>683</v>
      </c>
      <c r="Q4" s="440"/>
      <c r="R4" s="440" t="s">
        <v>683</v>
      </c>
      <c r="S4" s="440"/>
      <c r="T4" s="440" t="s">
        <v>683</v>
      </c>
      <c r="U4" s="440"/>
      <c r="V4" s="440" t="s">
        <v>683</v>
      </c>
      <c r="W4" s="337"/>
      <c r="X4" s="445">
        <f t="shared" ref="X4:X52" si="0">IF(J4="X",15,0)+IF(L4="X",5,0)+IF(N4="X",15,0)+IF(P4="X",10,0)+IF(R4="X",15,0)+IF(T4="X",10,0)+IF(V4="X",30,0)</f>
        <v>85</v>
      </c>
      <c r="Y4" s="453" t="s">
        <v>751</v>
      </c>
    </row>
    <row r="5" spans="1:25" ht="60" x14ac:dyDescent="0.25">
      <c r="B5" s="627"/>
      <c r="C5" s="444">
        <v>1.2</v>
      </c>
      <c r="D5" s="265" t="s">
        <v>345</v>
      </c>
      <c r="E5" s="272" t="s">
        <v>647</v>
      </c>
      <c r="F5" s="440" t="s">
        <v>683</v>
      </c>
      <c r="G5" s="440"/>
      <c r="H5" s="440" t="s">
        <v>683</v>
      </c>
      <c r="I5" s="440"/>
      <c r="J5" s="440" t="s">
        <v>683</v>
      </c>
      <c r="K5" s="440"/>
      <c r="L5" s="440" t="s">
        <v>683</v>
      </c>
      <c r="M5" s="440"/>
      <c r="N5" s="440"/>
      <c r="O5" s="440" t="s">
        <v>683</v>
      </c>
      <c r="P5" s="440" t="s">
        <v>683</v>
      </c>
      <c r="Q5" s="440"/>
      <c r="R5" s="440" t="s">
        <v>683</v>
      </c>
      <c r="S5" s="440"/>
      <c r="T5" s="440" t="s">
        <v>683</v>
      </c>
      <c r="U5" s="440"/>
      <c r="V5" s="440" t="s">
        <v>683</v>
      </c>
      <c r="W5" s="337"/>
      <c r="X5" s="445">
        <f t="shared" si="0"/>
        <v>85</v>
      </c>
      <c r="Y5" s="453" t="s">
        <v>708</v>
      </c>
    </row>
    <row r="6" spans="1:25" ht="165" x14ac:dyDescent="0.25">
      <c r="B6" s="627"/>
      <c r="C6" s="444">
        <v>1.3</v>
      </c>
      <c r="D6" s="265" t="s">
        <v>348</v>
      </c>
      <c r="E6" s="265" t="s">
        <v>346</v>
      </c>
      <c r="F6" s="440" t="s">
        <v>683</v>
      </c>
      <c r="G6" s="440"/>
      <c r="H6" s="440" t="s">
        <v>683</v>
      </c>
      <c r="I6" s="440"/>
      <c r="J6" s="440" t="s">
        <v>683</v>
      </c>
      <c r="K6" s="440"/>
      <c r="L6" s="440" t="s">
        <v>683</v>
      </c>
      <c r="M6" s="440"/>
      <c r="N6" s="440"/>
      <c r="O6" s="440" t="s">
        <v>683</v>
      </c>
      <c r="P6" s="440" t="s">
        <v>683</v>
      </c>
      <c r="Q6" s="440"/>
      <c r="R6" s="440" t="s">
        <v>683</v>
      </c>
      <c r="S6" s="440"/>
      <c r="T6" s="440" t="s">
        <v>683</v>
      </c>
      <c r="U6" s="440"/>
      <c r="V6" s="440" t="s">
        <v>683</v>
      </c>
      <c r="W6" s="337"/>
      <c r="X6" s="445">
        <f t="shared" si="0"/>
        <v>85</v>
      </c>
      <c r="Y6" s="453" t="s">
        <v>752</v>
      </c>
    </row>
    <row r="7" spans="1:25" ht="120" x14ac:dyDescent="0.25">
      <c r="B7" s="626" t="s">
        <v>72</v>
      </c>
      <c r="C7" s="444">
        <v>2.1</v>
      </c>
      <c r="D7" s="323" t="s">
        <v>238</v>
      </c>
      <c r="E7" s="265" t="s">
        <v>358</v>
      </c>
      <c r="F7" s="440" t="s">
        <v>683</v>
      </c>
      <c r="G7" s="440"/>
      <c r="H7" s="440"/>
      <c r="I7" s="440" t="s">
        <v>683</v>
      </c>
      <c r="J7" s="440" t="s">
        <v>683</v>
      </c>
      <c r="K7" s="440"/>
      <c r="L7" s="440" t="s">
        <v>683</v>
      </c>
      <c r="M7" s="440"/>
      <c r="N7" s="440"/>
      <c r="O7" s="440" t="s">
        <v>683</v>
      </c>
      <c r="P7" s="440" t="s">
        <v>683</v>
      </c>
      <c r="Q7" s="440"/>
      <c r="R7" s="440" t="s">
        <v>683</v>
      </c>
      <c r="S7" s="440"/>
      <c r="T7" s="440" t="s">
        <v>683</v>
      </c>
      <c r="U7" s="440"/>
      <c r="V7" s="440" t="s">
        <v>683</v>
      </c>
      <c r="W7" s="337"/>
      <c r="X7" s="445">
        <f t="shared" si="0"/>
        <v>85</v>
      </c>
      <c r="Y7" s="453" t="s">
        <v>753</v>
      </c>
    </row>
    <row r="8" spans="1:25" ht="60" x14ac:dyDescent="0.2">
      <c r="B8" s="627"/>
      <c r="C8" s="444">
        <v>2.2000000000000002</v>
      </c>
      <c r="D8" s="323" t="s">
        <v>239</v>
      </c>
      <c r="E8" s="490" t="s">
        <v>754</v>
      </c>
      <c r="F8" s="440" t="s">
        <v>683</v>
      </c>
      <c r="G8" s="440"/>
      <c r="H8" s="440" t="s">
        <v>683</v>
      </c>
      <c r="I8" s="440"/>
      <c r="J8" s="440" t="s">
        <v>683</v>
      </c>
      <c r="K8" s="440"/>
      <c r="L8" s="440" t="s">
        <v>683</v>
      </c>
      <c r="M8" s="440"/>
      <c r="N8" s="440"/>
      <c r="O8" s="440" t="s">
        <v>683</v>
      </c>
      <c r="P8" s="440" t="s">
        <v>683</v>
      </c>
      <c r="Q8" s="440"/>
      <c r="R8" s="440" t="s">
        <v>683</v>
      </c>
      <c r="S8" s="440"/>
      <c r="T8" s="440" t="s">
        <v>683</v>
      </c>
      <c r="U8" s="440"/>
      <c r="V8" s="440" t="s">
        <v>683</v>
      </c>
      <c r="W8" s="337"/>
      <c r="X8" s="445">
        <f t="shared" si="0"/>
        <v>85</v>
      </c>
      <c r="Y8" s="453" t="s">
        <v>709</v>
      </c>
    </row>
    <row r="9" spans="1:25" ht="99.75" x14ac:dyDescent="0.25">
      <c r="B9" s="627"/>
      <c r="C9" s="444">
        <v>2.2999999999999998</v>
      </c>
      <c r="D9" s="323" t="s">
        <v>630</v>
      </c>
      <c r="E9" s="323" t="s">
        <v>633</v>
      </c>
      <c r="F9" s="440" t="s">
        <v>683</v>
      </c>
      <c r="G9" s="440"/>
      <c r="H9" s="440"/>
      <c r="I9" s="440" t="s">
        <v>683</v>
      </c>
      <c r="J9" s="440" t="s">
        <v>683</v>
      </c>
      <c r="K9" s="440"/>
      <c r="L9" s="440" t="s">
        <v>683</v>
      </c>
      <c r="M9" s="440"/>
      <c r="N9" s="440"/>
      <c r="O9" s="440" t="s">
        <v>683</v>
      </c>
      <c r="P9" s="440" t="s">
        <v>683</v>
      </c>
      <c r="Q9" s="440"/>
      <c r="R9" s="440" t="s">
        <v>683</v>
      </c>
      <c r="S9" s="440"/>
      <c r="T9" s="440" t="s">
        <v>683</v>
      </c>
      <c r="U9" s="440"/>
      <c r="V9" s="440" t="s">
        <v>683</v>
      </c>
      <c r="W9" s="337"/>
      <c r="X9" s="446">
        <f t="shared" si="0"/>
        <v>85</v>
      </c>
      <c r="Y9" s="453" t="s">
        <v>688</v>
      </c>
    </row>
    <row r="10" spans="1:25" ht="71.25" x14ac:dyDescent="0.25">
      <c r="B10" s="632"/>
      <c r="C10" s="444">
        <v>2.4</v>
      </c>
      <c r="D10" s="323" t="s">
        <v>689</v>
      </c>
      <c r="E10" s="265" t="s">
        <v>636</v>
      </c>
      <c r="F10" s="440" t="s">
        <v>683</v>
      </c>
      <c r="G10" s="440"/>
      <c r="H10" s="440"/>
      <c r="I10" s="440" t="s">
        <v>683</v>
      </c>
      <c r="J10" s="440" t="s">
        <v>683</v>
      </c>
      <c r="K10" s="440"/>
      <c r="L10" s="440" t="s">
        <v>683</v>
      </c>
      <c r="M10" s="440"/>
      <c r="N10" s="440"/>
      <c r="O10" s="440" t="s">
        <v>683</v>
      </c>
      <c r="P10" s="440" t="s">
        <v>683</v>
      </c>
      <c r="Q10" s="440"/>
      <c r="R10" s="440" t="s">
        <v>683</v>
      </c>
      <c r="S10" s="440"/>
      <c r="T10" s="440" t="s">
        <v>683</v>
      </c>
      <c r="U10" s="440"/>
      <c r="V10" s="440" t="s">
        <v>683</v>
      </c>
      <c r="W10" s="337"/>
      <c r="X10" s="445">
        <f t="shared" si="0"/>
        <v>85</v>
      </c>
      <c r="Y10" s="453" t="s">
        <v>710</v>
      </c>
    </row>
    <row r="11" spans="1:25" ht="114" x14ac:dyDescent="0.25">
      <c r="B11" s="626" t="s">
        <v>690</v>
      </c>
      <c r="C11" s="444">
        <v>3.1</v>
      </c>
      <c r="D11" s="454" t="s">
        <v>251</v>
      </c>
      <c r="E11" s="272" t="s">
        <v>498</v>
      </c>
      <c r="F11" s="440" t="s">
        <v>683</v>
      </c>
      <c r="G11" s="440"/>
      <c r="H11" s="440" t="s">
        <v>683</v>
      </c>
      <c r="I11" s="440"/>
      <c r="J11" s="440" t="s">
        <v>683</v>
      </c>
      <c r="K11" s="440"/>
      <c r="L11" s="440" t="s">
        <v>683</v>
      </c>
      <c r="M11" s="440"/>
      <c r="N11" s="440"/>
      <c r="O11" s="440" t="s">
        <v>683</v>
      </c>
      <c r="P11" s="440" t="s">
        <v>683</v>
      </c>
      <c r="Q11" s="440"/>
      <c r="R11" s="440" t="s">
        <v>683</v>
      </c>
      <c r="S11" s="440"/>
      <c r="T11" s="440" t="s">
        <v>683</v>
      </c>
      <c r="U11" s="440"/>
      <c r="V11" s="440" t="s">
        <v>683</v>
      </c>
      <c r="W11" s="337"/>
      <c r="X11" s="445">
        <f t="shared" si="0"/>
        <v>85</v>
      </c>
      <c r="Y11" s="453" t="s">
        <v>691</v>
      </c>
    </row>
    <row r="12" spans="1:25" ht="150" x14ac:dyDescent="0.25">
      <c r="B12" s="627"/>
      <c r="C12" s="444">
        <v>3.2</v>
      </c>
      <c r="D12" s="454" t="s">
        <v>499</v>
      </c>
      <c r="E12" s="272" t="s">
        <v>500</v>
      </c>
      <c r="F12" s="440" t="s">
        <v>683</v>
      </c>
      <c r="G12" s="440"/>
      <c r="H12" s="440" t="s">
        <v>683</v>
      </c>
      <c r="I12" s="440"/>
      <c r="J12" s="440" t="s">
        <v>683</v>
      </c>
      <c r="K12" s="440"/>
      <c r="L12" s="440" t="s">
        <v>683</v>
      </c>
      <c r="M12" s="440"/>
      <c r="N12" s="448"/>
      <c r="O12" s="440" t="s">
        <v>683</v>
      </c>
      <c r="P12" s="440" t="s">
        <v>683</v>
      </c>
      <c r="Q12" s="440"/>
      <c r="R12" s="440" t="s">
        <v>683</v>
      </c>
      <c r="S12" s="440"/>
      <c r="T12" s="440" t="s">
        <v>683</v>
      </c>
      <c r="U12" s="440"/>
      <c r="V12" s="440" t="s">
        <v>683</v>
      </c>
      <c r="W12" s="337"/>
      <c r="X12" s="445">
        <f t="shared" si="0"/>
        <v>85</v>
      </c>
      <c r="Y12" s="453" t="s">
        <v>719</v>
      </c>
    </row>
    <row r="13" spans="1:25" ht="60" x14ac:dyDescent="0.25">
      <c r="B13" s="627"/>
      <c r="C13" s="444">
        <v>3.3</v>
      </c>
      <c r="D13" s="454" t="s">
        <v>249</v>
      </c>
      <c r="E13" s="272" t="s">
        <v>378</v>
      </c>
      <c r="F13" s="440" t="s">
        <v>683</v>
      </c>
      <c r="G13" s="440"/>
      <c r="H13" s="440" t="s">
        <v>683</v>
      </c>
      <c r="I13" s="440"/>
      <c r="J13" s="440" t="s">
        <v>683</v>
      </c>
      <c r="K13" s="440"/>
      <c r="L13" s="440" t="s">
        <v>683</v>
      </c>
      <c r="M13" s="440"/>
      <c r="N13" s="448"/>
      <c r="O13" s="440" t="s">
        <v>683</v>
      </c>
      <c r="P13" s="440" t="s">
        <v>683</v>
      </c>
      <c r="R13" s="440" t="s">
        <v>683</v>
      </c>
      <c r="S13" s="440"/>
      <c r="T13" s="440" t="s">
        <v>683</v>
      </c>
      <c r="U13" s="440"/>
      <c r="V13" s="440" t="s">
        <v>683</v>
      </c>
      <c r="W13" s="337"/>
      <c r="X13" s="445">
        <f t="shared" si="0"/>
        <v>85</v>
      </c>
      <c r="Y13" s="453" t="s">
        <v>718</v>
      </c>
    </row>
    <row r="14" spans="1:25" ht="180" x14ac:dyDescent="0.25">
      <c r="B14" s="627"/>
      <c r="C14" s="444">
        <v>3.4</v>
      </c>
      <c r="D14" s="455" t="s">
        <v>364</v>
      </c>
      <c r="E14" s="272" t="s">
        <v>368</v>
      </c>
      <c r="F14" s="440" t="s">
        <v>683</v>
      </c>
      <c r="G14" s="440"/>
      <c r="H14" s="440" t="s">
        <v>683</v>
      </c>
      <c r="I14" s="440"/>
      <c r="J14" s="440" t="s">
        <v>683</v>
      </c>
      <c r="K14" s="440"/>
      <c r="L14" s="440" t="s">
        <v>683</v>
      </c>
      <c r="M14" s="440"/>
      <c r="N14" s="440"/>
      <c r="O14" s="440" t="s">
        <v>683</v>
      </c>
      <c r="P14" s="440" t="s">
        <v>683</v>
      </c>
      <c r="Q14" s="440"/>
      <c r="R14" s="456" t="s">
        <v>683</v>
      </c>
      <c r="S14" s="440"/>
      <c r="T14" s="456"/>
      <c r="U14" s="440" t="s">
        <v>683</v>
      </c>
      <c r="V14" s="456"/>
      <c r="W14" s="337" t="s">
        <v>683</v>
      </c>
      <c r="X14" s="449">
        <f>IF(J14="X",15,0)+IF(L14="X",5,0)+IF(N14="X",15,0)+IF(P14="X",10,0)+IF(R14="X",15,0)+IF(T14="X",10,0)+IF(V14="X",30,0)</f>
        <v>45</v>
      </c>
      <c r="Y14" s="453" t="s">
        <v>755</v>
      </c>
    </row>
    <row r="15" spans="1:25" ht="99.75" x14ac:dyDescent="0.25">
      <c r="B15" s="627"/>
      <c r="C15" s="444">
        <v>3.5</v>
      </c>
      <c r="D15" s="454" t="s">
        <v>692</v>
      </c>
      <c r="E15" s="272" t="s">
        <v>717</v>
      </c>
      <c r="F15" s="129" t="s">
        <v>683</v>
      </c>
      <c r="G15" s="129"/>
      <c r="H15" s="129" t="s">
        <v>683</v>
      </c>
      <c r="I15" s="129"/>
      <c r="J15" s="129" t="s">
        <v>683</v>
      </c>
      <c r="K15" s="129"/>
      <c r="L15" s="129" t="s">
        <v>683</v>
      </c>
      <c r="M15" s="129"/>
      <c r="N15" s="129"/>
      <c r="O15" s="129" t="s">
        <v>683</v>
      </c>
      <c r="P15" s="129" t="s">
        <v>683</v>
      </c>
      <c r="Q15" s="129"/>
      <c r="R15" s="14" t="s">
        <v>683</v>
      </c>
      <c r="S15" s="457"/>
      <c r="T15" s="14" t="s">
        <v>683</v>
      </c>
      <c r="U15" s="129"/>
      <c r="V15" s="14" t="s">
        <v>683</v>
      </c>
      <c r="W15" s="458"/>
      <c r="X15" s="445">
        <f t="shared" si="0"/>
        <v>85</v>
      </c>
      <c r="Y15" s="453" t="s">
        <v>756</v>
      </c>
    </row>
    <row r="16" spans="1:25" ht="99.75" x14ac:dyDescent="0.25">
      <c r="B16" s="626" t="s">
        <v>336</v>
      </c>
      <c r="C16" s="444">
        <v>4.0999999999999996</v>
      </c>
      <c r="D16" s="459" t="s">
        <v>386</v>
      </c>
      <c r="E16" s="460" t="s">
        <v>398</v>
      </c>
      <c r="F16" s="440" t="s">
        <v>683</v>
      </c>
      <c r="G16" s="440"/>
      <c r="H16" s="440" t="s">
        <v>683</v>
      </c>
      <c r="I16" s="448"/>
      <c r="J16" s="440" t="s">
        <v>683</v>
      </c>
      <c r="K16" s="440"/>
      <c r="L16" s="440" t="s">
        <v>683</v>
      </c>
      <c r="M16" s="440"/>
      <c r="N16" s="440"/>
      <c r="O16" s="440" t="s">
        <v>683</v>
      </c>
      <c r="P16" s="440" t="s">
        <v>683</v>
      </c>
      <c r="Q16" s="440"/>
      <c r="R16" s="440" t="s">
        <v>683</v>
      </c>
      <c r="S16" s="440"/>
      <c r="T16" s="440" t="s">
        <v>683</v>
      </c>
      <c r="U16" s="440"/>
      <c r="V16" s="440" t="s">
        <v>683</v>
      </c>
      <c r="W16" s="337"/>
      <c r="X16" s="445">
        <f t="shared" si="0"/>
        <v>85</v>
      </c>
      <c r="Y16" s="467" t="s">
        <v>757</v>
      </c>
    </row>
    <row r="17" spans="2:30" ht="71.25" x14ac:dyDescent="0.25">
      <c r="B17" s="627"/>
      <c r="C17" s="444">
        <v>4.2</v>
      </c>
      <c r="D17" s="461" t="s">
        <v>693</v>
      </c>
      <c r="E17" s="460" t="s">
        <v>402</v>
      </c>
      <c r="F17" s="440" t="s">
        <v>683</v>
      </c>
      <c r="G17" s="440"/>
      <c r="H17" s="440" t="s">
        <v>683</v>
      </c>
      <c r="I17" s="448"/>
      <c r="J17" s="440" t="s">
        <v>683</v>
      </c>
      <c r="K17" s="440"/>
      <c r="L17" s="440" t="s">
        <v>683</v>
      </c>
      <c r="M17" s="440"/>
      <c r="N17" s="440"/>
      <c r="O17" s="440" t="s">
        <v>683</v>
      </c>
      <c r="P17" s="440" t="s">
        <v>683</v>
      </c>
      <c r="Q17" s="440"/>
      <c r="R17" s="440" t="s">
        <v>683</v>
      </c>
      <c r="S17" s="440"/>
      <c r="T17" s="440" t="s">
        <v>683</v>
      </c>
      <c r="U17" s="440"/>
      <c r="V17" s="440" t="s">
        <v>683</v>
      </c>
      <c r="W17" s="337"/>
      <c r="X17" s="445">
        <f t="shared" si="0"/>
        <v>85</v>
      </c>
      <c r="Y17" s="453" t="s">
        <v>758</v>
      </c>
    </row>
    <row r="18" spans="2:30" ht="84" customHeight="1" x14ac:dyDescent="0.25">
      <c r="B18" s="627"/>
      <c r="C18" s="444">
        <v>4.3</v>
      </c>
      <c r="D18" s="462" t="s">
        <v>694</v>
      </c>
      <c r="E18" s="460" t="s">
        <v>408</v>
      </c>
      <c r="F18" s="440" t="s">
        <v>683</v>
      </c>
      <c r="G18" s="440"/>
      <c r="H18" s="440" t="s">
        <v>683</v>
      </c>
      <c r="I18" s="440"/>
      <c r="J18" s="440" t="s">
        <v>683</v>
      </c>
      <c r="K18" s="440"/>
      <c r="L18" s="440" t="s">
        <v>683</v>
      </c>
      <c r="M18" s="440"/>
      <c r="N18" s="440"/>
      <c r="O18" s="440" t="s">
        <v>683</v>
      </c>
      <c r="P18" s="440" t="s">
        <v>683</v>
      </c>
      <c r="Q18" s="440"/>
      <c r="R18" s="440" t="s">
        <v>683</v>
      </c>
      <c r="S18" s="440"/>
      <c r="T18" s="440" t="s">
        <v>683</v>
      </c>
      <c r="U18" s="440"/>
      <c r="V18" s="440" t="s">
        <v>683</v>
      </c>
      <c r="W18" s="337"/>
      <c r="X18" s="445">
        <f t="shared" si="0"/>
        <v>85</v>
      </c>
      <c r="Y18" s="453" t="s">
        <v>759</v>
      </c>
    </row>
    <row r="19" spans="2:30" ht="85.5" x14ac:dyDescent="0.25">
      <c r="B19" s="635" t="s">
        <v>695</v>
      </c>
      <c r="C19" s="444">
        <v>5.0999999999999996</v>
      </c>
      <c r="D19" s="463" t="s">
        <v>411</v>
      </c>
      <c r="E19" s="464" t="s">
        <v>414</v>
      </c>
      <c r="F19" s="465" t="s">
        <v>683</v>
      </c>
      <c r="G19" s="465"/>
      <c r="H19" s="465" t="s">
        <v>683</v>
      </c>
      <c r="J19" s="465" t="s">
        <v>683</v>
      </c>
      <c r="L19" s="448" t="s">
        <v>683</v>
      </c>
      <c r="M19" s="448"/>
      <c r="N19" s="440"/>
      <c r="O19" s="440" t="s">
        <v>683</v>
      </c>
      <c r="P19" s="440" t="s">
        <v>683</v>
      </c>
      <c r="Q19" s="440"/>
      <c r="R19" s="440"/>
      <c r="S19" s="440" t="s">
        <v>683</v>
      </c>
      <c r="T19" s="440" t="s">
        <v>683</v>
      </c>
      <c r="U19" s="440"/>
      <c r="V19" s="440" t="s">
        <v>683</v>
      </c>
      <c r="W19" s="466"/>
      <c r="X19" s="447">
        <f t="shared" si="0"/>
        <v>70</v>
      </c>
      <c r="Y19" s="453" t="s">
        <v>760</v>
      </c>
    </row>
    <row r="20" spans="2:30" ht="111.75" customHeight="1" x14ac:dyDescent="0.25">
      <c r="B20" s="636"/>
      <c r="C20" s="444">
        <v>5.2</v>
      </c>
      <c r="D20" s="463" t="s">
        <v>300</v>
      </c>
      <c r="E20" s="464" t="s">
        <v>417</v>
      </c>
      <c r="F20" s="448" t="s">
        <v>683</v>
      </c>
      <c r="G20" s="448"/>
      <c r="H20" s="448" t="s">
        <v>683</v>
      </c>
      <c r="I20" s="32"/>
      <c r="J20" s="448" t="s">
        <v>683</v>
      </c>
      <c r="K20" s="32"/>
      <c r="L20" s="448" t="s">
        <v>683</v>
      </c>
      <c r="M20" s="448"/>
      <c r="N20" s="440"/>
      <c r="O20" s="440" t="s">
        <v>683</v>
      </c>
      <c r="P20" s="440" t="s">
        <v>683</v>
      </c>
      <c r="Q20" s="440"/>
      <c r="R20" s="440" t="s">
        <v>683</v>
      </c>
      <c r="S20" s="440"/>
      <c r="T20" s="440" t="s">
        <v>683</v>
      </c>
      <c r="U20" s="440"/>
      <c r="V20" s="440" t="s">
        <v>683</v>
      </c>
      <c r="W20" s="337"/>
      <c r="X20" s="445">
        <f t="shared" si="0"/>
        <v>85</v>
      </c>
      <c r="Y20" s="467" t="s">
        <v>761</v>
      </c>
    </row>
    <row r="21" spans="2:30" ht="126" customHeight="1" x14ac:dyDescent="0.25">
      <c r="B21" s="636"/>
      <c r="C21" s="444">
        <v>5.3</v>
      </c>
      <c r="D21" s="463" t="s">
        <v>505</v>
      </c>
      <c r="E21" s="464" t="s">
        <v>738</v>
      </c>
      <c r="F21" s="448" t="s">
        <v>683</v>
      </c>
      <c r="G21" s="448"/>
      <c r="H21" s="448"/>
      <c r="I21" s="448" t="s">
        <v>683</v>
      </c>
      <c r="J21" s="448"/>
      <c r="K21" s="448" t="s">
        <v>683</v>
      </c>
      <c r="L21" s="448" t="s">
        <v>683</v>
      </c>
      <c r="M21" s="448"/>
      <c r="N21" s="440"/>
      <c r="O21" s="440" t="s">
        <v>683</v>
      </c>
      <c r="P21" s="440" t="s">
        <v>683</v>
      </c>
      <c r="Q21" s="440"/>
      <c r="R21" s="440" t="s">
        <v>683</v>
      </c>
      <c r="S21" s="440"/>
      <c r="T21" s="440" t="s">
        <v>683</v>
      </c>
      <c r="U21" s="440"/>
      <c r="V21" s="440" t="s">
        <v>683</v>
      </c>
      <c r="W21" s="337"/>
      <c r="X21" s="447">
        <f t="shared" si="0"/>
        <v>70</v>
      </c>
      <c r="Y21" s="467" t="s">
        <v>762</v>
      </c>
    </row>
    <row r="22" spans="2:30" ht="176.25" customHeight="1" x14ac:dyDescent="0.25">
      <c r="B22" s="636"/>
      <c r="C22" s="468">
        <v>5.4</v>
      </c>
      <c r="D22" s="469" t="s">
        <v>307</v>
      </c>
      <c r="E22" s="470" t="s">
        <v>735</v>
      </c>
      <c r="F22" s="448" t="s">
        <v>683</v>
      </c>
      <c r="G22" s="448"/>
      <c r="H22" s="448" t="s">
        <v>683</v>
      </c>
      <c r="I22" s="448"/>
      <c r="J22" s="448" t="s">
        <v>683</v>
      </c>
      <c r="K22" s="448"/>
      <c r="L22" s="448" t="s">
        <v>683</v>
      </c>
      <c r="M22" s="448"/>
      <c r="N22" s="440"/>
      <c r="O22" s="440" t="s">
        <v>683</v>
      </c>
      <c r="P22" s="440" t="s">
        <v>683</v>
      </c>
      <c r="Q22" s="440"/>
      <c r="R22" s="440" t="s">
        <v>683</v>
      </c>
      <c r="S22" s="440"/>
      <c r="T22" s="440" t="s">
        <v>683</v>
      </c>
      <c r="U22" s="440"/>
      <c r="V22" s="440" t="s">
        <v>683</v>
      </c>
      <c r="W22" s="337"/>
      <c r="X22" s="445">
        <f t="shared" si="0"/>
        <v>85</v>
      </c>
      <c r="Y22" s="467" t="s">
        <v>743</v>
      </c>
    </row>
    <row r="23" spans="2:30" ht="134.25" customHeight="1" x14ac:dyDescent="0.25">
      <c r="B23" s="471" t="s">
        <v>696</v>
      </c>
      <c r="C23" s="444">
        <v>6.1</v>
      </c>
      <c r="D23" s="470" t="s">
        <v>479</v>
      </c>
      <c r="E23" s="265" t="s">
        <v>480</v>
      </c>
      <c r="F23" s="440" t="s">
        <v>683</v>
      </c>
      <c r="G23" s="440"/>
      <c r="H23" s="440" t="s">
        <v>683</v>
      </c>
      <c r="I23" s="440"/>
      <c r="J23" s="440" t="s">
        <v>683</v>
      </c>
      <c r="K23" s="440"/>
      <c r="L23" s="440" t="s">
        <v>683</v>
      </c>
      <c r="M23" s="440"/>
      <c r="N23" s="440"/>
      <c r="O23" s="440" t="s">
        <v>683</v>
      </c>
      <c r="P23" s="440" t="s">
        <v>683</v>
      </c>
      <c r="Q23" s="440"/>
      <c r="R23" s="440" t="s">
        <v>683</v>
      </c>
      <c r="S23" s="440"/>
      <c r="T23" s="440" t="s">
        <v>683</v>
      </c>
      <c r="U23" s="440"/>
      <c r="V23" s="440" t="s">
        <v>683</v>
      </c>
      <c r="W23" s="337"/>
      <c r="X23" s="445">
        <f t="shared" si="0"/>
        <v>85</v>
      </c>
      <c r="Y23" s="502" t="s">
        <v>763</v>
      </c>
    </row>
    <row r="24" spans="2:30" ht="99.75" x14ac:dyDescent="0.25">
      <c r="B24" s="635" t="s">
        <v>697</v>
      </c>
      <c r="C24" s="444">
        <v>7.1</v>
      </c>
      <c r="D24" s="470" t="s">
        <v>333</v>
      </c>
      <c r="E24" s="464" t="s">
        <v>319</v>
      </c>
      <c r="F24" s="440" t="s">
        <v>683</v>
      </c>
      <c r="G24" s="440"/>
      <c r="H24" s="440"/>
      <c r="I24" s="440" t="s">
        <v>683</v>
      </c>
      <c r="J24" s="440" t="s">
        <v>683</v>
      </c>
      <c r="K24" s="440"/>
      <c r="L24" s="440" t="s">
        <v>683</v>
      </c>
      <c r="M24" s="440"/>
      <c r="N24" s="440" t="s">
        <v>683</v>
      </c>
      <c r="O24" s="440"/>
      <c r="Q24" s="440" t="s">
        <v>683</v>
      </c>
      <c r="R24" s="440" t="s">
        <v>683</v>
      </c>
      <c r="S24" s="440"/>
      <c r="T24" s="4" t="s">
        <v>683</v>
      </c>
      <c r="U24" s="440"/>
      <c r="V24" s="440" t="s">
        <v>683</v>
      </c>
      <c r="W24" s="337"/>
      <c r="X24" s="445">
        <f t="shared" si="0"/>
        <v>90</v>
      </c>
      <c r="Y24" s="467" t="s">
        <v>720</v>
      </c>
      <c r="AD24" s="14" t="s">
        <v>698</v>
      </c>
    </row>
    <row r="25" spans="2:30" ht="90" x14ac:dyDescent="0.25">
      <c r="B25" s="636"/>
      <c r="C25" s="444">
        <v>7.2</v>
      </c>
      <c r="D25" s="470" t="s">
        <v>276</v>
      </c>
      <c r="E25" s="464" t="s">
        <v>721</v>
      </c>
      <c r="F25" s="440" t="s">
        <v>683</v>
      </c>
      <c r="G25" s="440"/>
      <c r="H25" s="440" t="s">
        <v>683</v>
      </c>
      <c r="I25" s="440"/>
      <c r="J25" s="440" t="s">
        <v>683</v>
      </c>
      <c r="K25" s="440"/>
      <c r="L25" s="440" t="s">
        <v>683</v>
      </c>
      <c r="M25" s="440"/>
      <c r="O25" s="440" t="s">
        <v>683</v>
      </c>
      <c r="P25" s="440" t="s">
        <v>683</v>
      </c>
      <c r="R25" s="440" t="s">
        <v>683</v>
      </c>
      <c r="S25" s="440"/>
      <c r="T25" s="32" t="s">
        <v>683</v>
      </c>
      <c r="U25" s="440"/>
      <c r="V25" s="440" t="s">
        <v>683</v>
      </c>
      <c r="W25" s="337"/>
      <c r="X25" s="445">
        <f t="shared" si="0"/>
        <v>85</v>
      </c>
      <c r="Y25" s="502" t="s">
        <v>739</v>
      </c>
    </row>
    <row r="26" spans="2:30" ht="150.75" customHeight="1" x14ac:dyDescent="0.25">
      <c r="B26" s="636"/>
      <c r="C26" s="444">
        <v>7.3</v>
      </c>
      <c r="D26" s="470" t="s">
        <v>324</v>
      </c>
      <c r="E26" s="464" t="s">
        <v>327</v>
      </c>
      <c r="F26" s="440" t="s">
        <v>683</v>
      </c>
      <c r="G26" s="440"/>
      <c r="H26" s="440" t="s">
        <v>683</v>
      </c>
      <c r="I26" s="440"/>
      <c r="J26" s="440"/>
      <c r="K26" s="440" t="s">
        <v>683</v>
      </c>
      <c r="L26" s="440" t="s">
        <v>683</v>
      </c>
      <c r="M26" s="440"/>
      <c r="N26" s="440"/>
      <c r="O26" s="440" t="s">
        <v>683</v>
      </c>
      <c r="P26" s="440" t="s">
        <v>683</v>
      </c>
      <c r="Q26" s="440"/>
      <c r="R26" s="440" t="s">
        <v>683</v>
      </c>
      <c r="S26" s="440"/>
      <c r="T26" s="440"/>
      <c r="U26" s="440" t="s">
        <v>683</v>
      </c>
      <c r="V26" s="440" t="s">
        <v>683</v>
      </c>
      <c r="W26" s="337"/>
      <c r="X26" s="447">
        <f t="shared" si="0"/>
        <v>60</v>
      </c>
      <c r="Y26" s="502" t="s">
        <v>740</v>
      </c>
    </row>
    <row r="27" spans="2:30" ht="99.75" x14ac:dyDescent="0.25">
      <c r="B27" s="636"/>
      <c r="C27" s="444">
        <v>7.4</v>
      </c>
      <c r="D27" s="470" t="s">
        <v>330</v>
      </c>
      <c r="E27" s="464" t="s">
        <v>620</v>
      </c>
      <c r="F27" s="440" t="s">
        <v>683</v>
      </c>
      <c r="G27" s="440"/>
      <c r="H27" s="440" t="s">
        <v>683</v>
      </c>
      <c r="I27" s="440"/>
      <c r="J27" s="440" t="s">
        <v>683</v>
      </c>
      <c r="K27" s="440"/>
      <c r="L27" s="440" t="s">
        <v>683</v>
      </c>
      <c r="M27" s="440"/>
      <c r="N27" s="440"/>
      <c r="O27" s="440" t="s">
        <v>683</v>
      </c>
      <c r="P27" s="440" t="s">
        <v>683</v>
      </c>
      <c r="Q27" s="440"/>
      <c r="R27" s="440"/>
      <c r="S27" s="440" t="s">
        <v>683</v>
      </c>
      <c r="T27" s="440" t="s">
        <v>683</v>
      </c>
      <c r="U27" s="440"/>
      <c r="V27" s="440" t="s">
        <v>683</v>
      </c>
      <c r="W27" s="337"/>
      <c r="X27" s="472">
        <f t="shared" si="0"/>
        <v>70</v>
      </c>
      <c r="Y27" s="467" t="s">
        <v>764</v>
      </c>
    </row>
    <row r="28" spans="2:30" ht="90" customHeight="1" x14ac:dyDescent="0.25">
      <c r="B28" s="635" t="s">
        <v>699</v>
      </c>
      <c r="C28" s="444">
        <v>8.1</v>
      </c>
      <c r="D28" s="464" t="s">
        <v>272</v>
      </c>
      <c r="E28" s="473" t="s">
        <v>490</v>
      </c>
      <c r="F28" s="474" t="s">
        <v>683</v>
      </c>
      <c r="G28" s="474"/>
      <c r="H28" s="474" t="s">
        <v>683</v>
      </c>
      <c r="I28" s="474"/>
      <c r="J28" s="474" t="s">
        <v>683</v>
      </c>
      <c r="K28" s="474"/>
      <c r="L28" s="474" t="s">
        <v>683</v>
      </c>
      <c r="M28" s="474"/>
      <c r="N28" s="474"/>
      <c r="O28" s="474" t="s">
        <v>683</v>
      </c>
      <c r="P28" s="474" t="s">
        <v>683</v>
      </c>
      <c r="Q28" s="474"/>
      <c r="R28" s="14" t="s">
        <v>683</v>
      </c>
      <c r="S28" s="474"/>
      <c r="T28" s="474"/>
      <c r="U28" s="474" t="s">
        <v>683</v>
      </c>
      <c r="V28" s="474" t="s">
        <v>683</v>
      </c>
      <c r="W28" s="475"/>
      <c r="X28" s="476">
        <f t="shared" si="0"/>
        <v>75</v>
      </c>
      <c r="Y28" s="502" t="s">
        <v>741</v>
      </c>
    </row>
    <row r="29" spans="2:30" ht="113.25" customHeight="1" x14ac:dyDescent="0.25">
      <c r="B29" s="636"/>
      <c r="C29" s="444">
        <v>8.1999999999999993</v>
      </c>
      <c r="D29" s="338" t="s">
        <v>433</v>
      </c>
      <c r="E29" s="473" t="s">
        <v>435</v>
      </c>
      <c r="F29" s="440" t="s">
        <v>683</v>
      </c>
      <c r="G29" s="440"/>
      <c r="H29" s="440" t="s">
        <v>683</v>
      </c>
      <c r="I29" s="477"/>
      <c r="J29" s="478" t="s">
        <v>683</v>
      </c>
      <c r="K29" s="478"/>
      <c r="L29" s="478" t="s">
        <v>683</v>
      </c>
      <c r="M29" s="478"/>
      <c r="N29" s="478"/>
      <c r="O29" s="478" t="s">
        <v>683</v>
      </c>
      <c r="P29" s="478" t="s">
        <v>683</v>
      </c>
      <c r="Q29" s="478"/>
      <c r="R29" s="479" t="s">
        <v>683</v>
      </c>
      <c r="S29" s="478"/>
      <c r="T29" s="478" t="s">
        <v>683</v>
      </c>
      <c r="U29" s="440"/>
      <c r="V29" s="440" t="s">
        <v>683</v>
      </c>
      <c r="W29" s="337"/>
      <c r="X29" s="446">
        <f t="shared" si="0"/>
        <v>85</v>
      </c>
      <c r="Y29" s="467" t="s">
        <v>765</v>
      </c>
    </row>
    <row r="30" spans="2:30" ht="124.5" customHeight="1" x14ac:dyDescent="0.25">
      <c r="B30" s="636"/>
      <c r="C30" s="480">
        <v>8.3000000000000007</v>
      </c>
      <c r="D30" s="338" t="s">
        <v>438</v>
      </c>
      <c r="E30" s="473" t="s">
        <v>439</v>
      </c>
      <c r="F30" s="440" t="s">
        <v>683</v>
      </c>
      <c r="G30" s="440"/>
      <c r="H30" s="440" t="s">
        <v>683</v>
      </c>
      <c r="I30" s="32"/>
      <c r="J30" s="440" t="s">
        <v>683</v>
      </c>
      <c r="K30" s="440"/>
      <c r="L30" s="440" t="s">
        <v>683</v>
      </c>
      <c r="M30" s="440"/>
      <c r="N30" s="440"/>
      <c r="O30" s="440" t="s">
        <v>683</v>
      </c>
      <c r="P30" s="440" t="s">
        <v>683</v>
      </c>
      <c r="Q30" s="440"/>
      <c r="R30" s="32"/>
      <c r="S30" s="440" t="s">
        <v>683</v>
      </c>
      <c r="T30" s="440" t="s">
        <v>683</v>
      </c>
      <c r="U30" s="440"/>
      <c r="V30" s="440" t="s">
        <v>683</v>
      </c>
      <c r="W30" s="337"/>
      <c r="X30" s="472">
        <f t="shared" si="0"/>
        <v>70</v>
      </c>
      <c r="Y30" s="467" t="s">
        <v>766</v>
      </c>
    </row>
    <row r="31" spans="2:30" ht="125.25" customHeight="1" x14ac:dyDescent="0.25">
      <c r="B31" s="637" t="s">
        <v>396</v>
      </c>
      <c r="C31" s="444">
        <v>9.1</v>
      </c>
      <c r="D31" s="338" t="s">
        <v>700</v>
      </c>
      <c r="E31" s="540" t="s">
        <v>449</v>
      </c>
      <c r="F31" s="440" t="s">
        <v>683</v>
      </c>
      <c r="G31" s="440"/>
      <c r="H31" s="440" t="s">
        <v>683</v>
      </c>
      <c r="I31" s="440"/>
      <c r="J31" s="440" t="s">
        <v>683</v>
      </c>
      <c r="K31" s="440"/>
      <c r="L31" s="440" t="s">
        <v>683</v>
      </c>
      <c r="M31" s="440"/>
      <c r="N31" s="440"/>
      <c r="O31" s="440" t="s">
        <v>683</v>
      </c>
      <c r="P31" s="440" t="s">
        <v>683</v>
      </c>
      <c r="Q31" s="440"/>
      <c r="R31" s="440" t="s">
        <v>683</v>
      </c>
      <c r="S31" s="440"/>
      <c r="T31" s="440" t="s">
        <v>683</v>
      </c>
      <c r="U31" s="440"/>
      <c r="V31" s="440" t="s">
        <v>683</v>
      </c>
      <c r="W31" s="337"/>
      <c r="X31" s="445">
        <f t="shared" si="0"/>
        <v>85</v>
      </c>
      <c r="Y31" s="453" t="s">
        <v>729</v>
      </c>
    </row>
    <row r="32" spans="2:30" ht="81.75" customHeight="1" x14ac:dyDescent="0.25">
      <c r="B32" s="638"/>
      <c r="C32" s="444">
        <v>9.1999999999999993</v>
      </c>
      <c r="D32" s="338" t="s">
        <v>443</v>
      </c>
      <c r="E32" s="481" t="s">
        <v>701</v>
      </c>
      <c r="F32" s="440" t="s">
        <v>683</v>
      </c>
      <c r="G32" s="440"/>
      <c r="H32" s="440"/>
      <c r="I32" s="440" t="s">
        <v>683</v>
      </c>
      <c r="J32" s="440" t="s">
        <v>683</v>
      </c>
      <c r="K32" s="440"/>
      <c r="L32" s="440" t="s">
        <v>683</v>
      </c>
      <c r="M32" s="440"/>
      <c r="N32" s="440"/>
      <c r="O32" s="440" t="s">
        <v>683</v>
      </c>
      <c r="P32" s="440" t="s">
        <v>683</v>
      </c>
      <c r="Q32" s="440"/>
      <c r="R32" s="440" t="s">
        <v>683</v>
      </c>
      <c r="S32" s="440"/>
      <c r="T32" s="440" t="s">
        <v>683</v>
      </c>
      <c r="U32" s="440"/>
      <c r="V32" s="440" t="s">
        <v>683</v>
      </c>
      <c r="W32" s="337"/>
      <c r="X32" s="445">
        <f t="shared" si="0"/>
        <v>85</v>
      </c>
      <c r="Y32" s="453" t="s">
        <v>730</v>
      </c>
    </row>
    <row r="33" spans="1:25" s="482" customFormat="1" ht="45" x14ac:dyDescent="0.25">
      <c r="A33" s="443"/>
      <c r="B33" s="639"/>
      <c r="C33" s="444">
        <v>9.3000000000000007</v>
      </c>
      <c r="D33" s="338" t="s">
        <v>446</v>
      </c>
      <c r="E33" s="481" t="s">
        <v>450</v>
      </c>
      <c r="F33" s="440" t="s">
        <v>683</v>
      </c>
      <c r="G33" s="440"/>
      <c r="H33" s="440" t="s">
        <v>683</v>
      </c>
      <c r="I33" s="440"/>
      <c r="J33" s="440" t="s">
        <v>683</v>
      </c>
      <c r="K33" s="440"/>
      <c r="L33" s="440" t="s">
        <v>683</v>
      </c>
      <c r="M33" s="440"/>
      <c r="N33" s="440"/>
      <c r="O33" s="440" t="s">
        <v>683</v>
      </c>
      <c r="P33" s="440" t="s">
        <v>683</v>
      </c>
      <c r="Q33" s="440"/>
      <c r="R33" s="440" t="s">
        <v>683</v>
      </c>
      <c r="S33" s="440"/>
      <c r="T33" s="440" t="s">
        <v>683</v>
      </c>
      <c r="U33" s="440"/>
      <c r="V33" s="440" t="s">
        <v>683</v>
      </c>
      <c r="W33" s="337"/>
      <c r="X33" s="445">
        <f t="shared" si="0"/>
        <v>85</v>
      </c>
      <c r="Y33" s="453" t="s">
        <v>767</v>
      </c>
    </row>
    <row r="34" spans="1:25" ht="45" x14ac:dyDescent="0.25">
      <c r="B34" s="635" t="s">
        <v>13</v>
      </c>
      <c r="C34" s="444">
        <v>10.1</v>
      </c>
      <c r="D34" s="483" t="s">
        <v>460</v>
      </c>
      <c r="E34" s="464" t="s">
        <v>470</v>
      </c>
      <c r="F34" s="440" t="s">
        <v>683</v>
      </c>
      <c r="G34" s="440"/>
      <c r="H34" s="448" t="s">
        <v>683</v>
      </c>
      <c r="I34" s="448"/>
      <c r="J34" s="448" t="s">
        <v>683</v>
      </c>
      <c r="K34" s="448"/>
      <c r="L34" s="448" t="s">
        <v>683</v>
      </c>
      <c r="M34" s="448"/>
      <c r="N34" s="448"/>
      <c r="O34" s="448" t="s">
        <v>683</v>
      </c>
      <c r="P34" s="448" t="s">
        <v>683</v>
      </c>
      <c r="Q34" s="440"/>
      <c r="R34" s="440" t="s">
        <v>683</v>
      </c>
      <c r="S34" s="440"/>
      <c r="T34" s="440" t="s">
        <v>683</v>
      </c>
      <c r="U34" s="440"/>
      <c r="V34" s="440" t="s">
        <v>683</v>
      </c>
      <c r="W34" s="337"/>
      <c r="X34" s="445">
        <f t="shared" si="0"/>
        <v>85</v>
      </c>
      <c r="Y34" s="453" t="s">
        <v>702</v>
      </c>
    </row>
    <row r="35" spans="1:25" ht="105" x14ac:dyDescent="0.25">
      <c r="B35" s="636"/>
      <c r="C35" s="444">
        <v>10.199999999999999</v>
      </c>
      <c r="D35" s="338" t="s">
        <v>463</v>
      </c>
      <c r="E35" s="464" t="s">
        <v>511</v>
      </c>
      <c r="F35" s="440" t="s">
        <v>683</v>
      </c>
      <c r="G35" s="440"/>
      <c r="H35" s="448" t="s">
        <v>683</v>
      </c>
      <c r="I35" s="448"/>
      <c r="J35" s="448" t="s">
        <v>683</v>
      </c>
      <c r="K35" s="448"/>
      <c r="L35" s="448" t="s">
        <v>683</v>
      </c>
      <c r="M35" s="448"/>
      <c r="N35" s="448"/>
      <c r="O35" s="448" t="s">
        <v>683</v>
      </c>
      <c r="P35" s="448" t="s">
        <v>683</v>
      </c>
      <c r="Q35" s="440"/>
      <c r="R35" s="440"/>
      <c r="S35" s="440" t="s">
        <v>683</v>
      </c>
      <c r="T35" s="440"/>
      <c r="U35" s="440" t="s">
        <v>683</v>
      </c>
      <c r="V35" s="440"/>
      <c r="W35" s="337" t="s">
        <v>683</v>
      </c>
      <c r="X35" s="449">
        <f t="shared" si="0"/>
        <v>30</v>
      </c>
      <c r="Y35" s="453" t="s">
        <v>768</v>
      </c>
    </row>
    <row r="36" spans="1:25" ht="45" x14ac:dyDescent="0.25">
      <c r="B36" s="640"/>
      <c r="C36" s="444">
        <v>10.3</v>
      </c>
      <c r="D36" s="338" t="s">
        <v>703</v>
      </c>
      <c r="E36" s="464" t="s">
        <v>512</v>
      </c>
      <c r="F36" s="440" t="s">
        <v>683</v>
      </c>
      <c r="G36" s="440"/>
      <c r="H36" s="448" t="s">
        <v>683</v>
      </c>
      <c r="I36" s="448"/>
      <c r="J36" s="448" t="s">
        <v>683</v>
      </c>
      <c r="K36" s="448"/>
      <c r="L36" s="448" t="s">
        <v>683</v>
      </c>
      <c r="M36" s="448"/>
      <c r="N36" s="448"/>
      <c r="O36" s="448" t="s">
        <v>683</v>
      </c>
      <c r="P36" s="448" t="s">
        <v>683</v>
      </c>
      <c r="Q36" s="440"/>
      <c r="R36" s="440" t="s">
        <v>683</v>
      </c>
      <c r="S36" s="440"/>
      <c r="T36" s="440" t="s">
        <v>683</v>
      </c>
      <c r="U36" s="440"/>
      <c r="V36" s="440" t="s">
        <v>683</v>
      </c>
      <c r="W36" s="337"/>
      <c r="X36" s="445">
        <f t="shared" si="0"/>
        <v>85</v>
      </c>
      <c r="Y36" s="453" t="s">
        <v>724</v>
      </c>
    </row>
    <row r="37" spans="1:25" ht="39" customHeight="1" x14ac:dyDescent="0.25">
      <c r="B37" s="635" t="s">
        <v>26</v>
      </c>
      <c r="C37" s="444">
        <v>11.1</v>
      </c>
      <c r="D37" s="484" t="s">
        <v>526</v>
      </c>
      <c r="E37" s="473" t="s">
        <v>516</v>
      </c>
      <c r="F37" s="440" t="s">
        <v>683</v>
      </c>
      <c r="G37" s="440"/>
      <c r="H37" s="440"/>
      <c r="I37" s="440" t="s">
        <v>683</v>
      </c>
      <c r="J37" s="440" t="s">
        <v>683</v>
      </c>
      <c r="K37" s="440"/>
      <c r="L37" s="440" t="s">
        <v>683</v>
      </c>
      <c r="M37" s="440"/>
      <c r="N37" s="440"/>
      <c r="O37" s="440" t="s">
        <v>683</v>
      </c>
      <c r="P37" s="440" t="s">
        <v>683</v>
      </c>
      <c r="Q37" s="440"/>
      <c r="R37" s="440" t="s">
        <v>683</v>
      </c>
      <c r="S37" s="440"/>
      <c r="T37" s="440" t="s">
        <v>683</v>
      </c>
      <c r="U37" s="440"/>
      <c r="V37" s="440" t="s">
        <v>683</v>
      </c>
      <c r="W37" s="337"/>
      <c r="X37" s="445">
        <f t="shared" si="0"/>
        <v>85</v>
      </c>
      <c r="Y37" s="453" t="s">
        <v>704</v>
      </c>
    </row>
    <row r="38" spans="1:25" ht="75" x14ac:dyDescent="0.25">
      <c r="B38" s="636"/>
      <c r="C38" s="444">
        <v>11.2</v>
      </c>
      <c r="D38" s="484" t="s">
        <v>519</v>
      </c>
      <c r="E38" s="473" t="s">
        <v>522</v>
      </c>
      <c r="F38" s="440" t="s">
        <v>683</v>
      </c>
      <c r="G38" s="440"/>
      <c r="H38" s="440"/>
      <c r="I38" s="440" t="s">
        <v>683</v>
      </c>
      <c r="J38" s="440" t="s">
        <v>683</v>
      </c>
      <c r="K38" s="440"/>
      <c r="L38" s="440" t="s">
        <v>683</v>
      </c>
      <c r="M38" s="440"/>
      <c r="N38" s="440"/>
      <c r="O38" s="440" t="s">
        <v>683</v>
      </c>
      <c r="P38" s="440" t="s">
        <v>683</v>
      </c>
      <c r="Q38" s="440"/>
      <c r="R38" s="440" t="s">
        <v>683</v>
      </c>
      <c r="S38" s="440"/>
      <c r="T38" s="440" t="s">
        <v>683</v>
      </c>
      <c r="U38" s="440"/>
      <c r="V38" s="440" t="s">
        <v>683</v>
      </c>
      <c r="W38" s="337"/>
      <c r="X38" s="445">
        <f t="shared" si="0"/>
        <v>85</v>
      </c>
      <c r="Y38" s="453" t="s">
        <v>726</v>
      </c>
    </row>
    <row r="39" spans="1:25" s="15" customFormat="1" ht="75" x14ac:dyDescent="0.25">
      <c r="A39" s="485"/>
      <c r="B39" s="641" t="s">
        <v>58</v>
      </c>
      <c r="C39" s="486">
        <v>12.1</v>
      </c>
      <c r="D39" s="487" t="s">
        <v>279</v>
      </c>
      <c r="E39" s="487" t="s">
        <v>283</v>
      </c>
      <c r="F39" s="448" t="s">
        <v>683</v>
      </c>
      <c r="G39" s="448"/>
      <c r="H39" s="448"/>
      <c r="I39" s="448" t="s">
        <v>683</v>
      </c>
      <c r="J39" s="448" t="s">
        <v>683</v>
      </c>
      <c r="K39" s="448"/>
      <c r="L39" s="448" t="s">
        <v>683</v>
      </c>
      <c r="M39" s="448"/>
      <c r="N39" s="448"/>
      <c r="O39" s="448" t="s">
        <v>683</v>
      </c>
      <c r="P39" s="448" t="s">
        <v>683</v>
      </c>
      <c r="Q39" s="448"/>
      <c r="R39" s="448" t="s">
        <v>683</v>
      </c>
      <c r="S39" s="448"/>
      <c r="T39" s="448"/>
      <c r="U39" s="448" t="s">
        <v>683</v>
      </c>
      <c r="V39" s="448" t="s">
        <v>683</v>
      </c>
      <c r="W39" s="337"/>
      <c r="X39" s="472">
        <f t="shared" si="0"/>
        <v>75</v>
      </c>
      <c r="Y39" s="467" t="s">
        <v>727</v>
      </c>
    </row>
    <row r="40" spans="1:25" s="15" customFormat="1" ht="75" x14ac:dyDescent="0.25">
      <c r="A40" s="485"/>
      <c r="B40" s="642"/>
      <c r="C40" s="486">
        <v>12.2</v>
      </c>
      <c r="D40" s="487" t="s">
        <v>286</v>
      </c>
      <c r="E40" s="487" t="s">
        <v>288</v>
      </c>
      <c r="F40" s="448" t="s">
        <v>683</v>
      </c>
      <c r="G40" s="448"/>
      <c r="H40" s="448"/>
      <c r="I40" s="448" t="s">
        <v>683</v>
      </c>
      <c r="J40" s="448" t="s">
        <v>683</v>
      </c>
      <c r="K40" s="448"/>
      <c r="L40" s="448" t="s">
        <v>683</v>
      </c>
      <c r="M40" s="448"/>
      <c r="N40" s="448"/>
      <c r="O40" s="448" t="s">
        <v>683</v>
      </c>
      <c r="P40" s="448" t="s">
        <v>683</v>
      </c>
      <c r="Q40" s="448"/>
      <c r="R40" s="448" t="s">
        <v>683</v>
      </c>
      <c r="S40" s="448"/>
      <c r="T40" s="448"/>
      <c r="U40" s="448" t="s">
        <v>683</v>
      </c>
      <c r="V40" s="448" t="s">
        <v>683</v>
      </c>
      <c r="W40" s="337"/>
      <c r="X40" s="447">
        <f t="shared" si="0"/>
        <v>75</v>
      </c>
      <c r="Y40" s="467" t="s">
        <v>728</v>
      </c>
    </row>
    <row r="41" spans="1:25" s="15" customFormat="1" ht="60" x14ac:dyDescent="0.25">
      <c r="A41" s="485"/>
      <c r="B41" s="642"/>
      <c r="C41" s="486">
        <v>12.3</v>
      </c>
      <c r="D41" s="487" t="s">
        <v>59</v>
      </c>
      <c r="E41" s="487" t="s">
        <v>63</v>
      </c>
      <c r="F41" s="448" t="s">
        <v>683</v>
      </c>
      <c r="G41" s="448"/>
      <c r="H41" s="448"/>
      <c r="I41" s="448" t="s">
        <v>683</v>
      </c>
      <c r="J41" s="448" t="s">
        <v>683</v>
      </c>
      <c r="K41" s="448"/>
      <c r="L41" s="448" t="s">
        <v>683</v>
      </c>
      <c r="M41" s="448"/>
      <c r="N41" s="448"/>
      <c r="O41" s="448" t="s">
        <v>683</v>
      </c>
      <c r="P41" s="448" t="s">
        <v>683</v>
      </c>
      <c r="Q41" s="448"/>
      <c r="R41" s="448" t="s">
        <v>683</v>
      </c>
      <c r="S41" s="448"/>
      <c r="T41" s="337"/>
      <c r="U41" s="337" t="s">
        <v>683</v>
      </c>
      <c r="V41" s="448" t="s">
        <v>683</v>
      </c>
      <c r="W41" s="337"/>
      <c r="X41" s="447">
        <f t="shared" si="0"/>
        <v>75</v>
      </c>
      <c r="Y41" s="467" t="s">
        <v>769</v>
      </c>
    </row>
    <row r="42" spans="1:25" s="15" customFormat="1" ht="60" x14ac:dyDescent="0.25">
      <c r="A42" s="485"/>
      <c r="B42" s="642"/>
      <c r="C42" s="486">
        <v>12.4</v>
      </c>
      <c r="D42" s="487" t="s">
        <v>292</v>
      </c>
      <c r="E42" s="487" t="s">
        <v>651</v>
      </c>
      <c r="F42" s="448" t="s">
        <v>683</v>
      </c>
      <c r="G42" s="448"/>
      <c r="H42" s="448" t="s">
        <v>683</v>
      </c>
      <c r="I42" s="448"/>
      <c r="J42" s="448"/>
      <c r="K42" s="448" t="s">
        <v>683</v>
      </c>
      <c r="L42" s="448" t="s">
        <v>683</v>
      </c>
      <c r="M42" s="448"/>
      <c r="N42" s="448"/>
      <c r="O42" s="448" t="s">
        <v>683</v>
      </c>
      <c r="P42" s="448" t="s">
        <v>683</v>
      </c>
      <c r="Q42" s="448"/>
      <c r="R42" s="448" t="s">
        <v>683</v>
      </c>
      <c r="S42" s="448"/>
      <c r="T42" s="448" t="s">
        <v>683</v>
      </c>
      <c r="U42" s="448"/>
      <c r="V42" s="448" t="s">
        <v>683</v>
      </c>
      <c r="W42" s="337"/>
      <c r="X42" s="447">
        <f t="shared" si="0"/>
        <v>70</v>
      </c>
      <c r="Y42" s="467" t="s">
        <v>770</v>
      </c>
    </row>
    <row r="43" spans="1:25" s="15" customFormat="1" ht="90" x14ac:dyDescent="0.25">
      <c r="A43" s="485"/>
      <c r="B43" s="642" t="s">
        <v>571</v>
      </c>
      <c r="C43" s="486">
        <v>13.1</v>
      </c>
      <c r="D43" s="487" t="s">
        <v>531</v>
      </c>
      <c r="E43" s="487" t="s">
        <v>551</v>
      </c>
      <c r="F43" s="448" t="s">
        <v>683</v>
      </c>
      <c r="G43" s="448"/>
      <c r="H43" s="448" t="s">
        <v>683</v>
      </c>
      <c r="I43" s="448"/>
      <c r="J43" s="448" t="s">
        <v>683</v>
      </c>
      <c r="K43" s="448"/>
      <c r="L43" s="448" t="s">
        <v>683</v>
      </c>
      <c r="M43" s="448"/>
      <c r="N43" s="448" t="s">
        <v>683</v>
      </c>
      <c r="O43" s="448"/>
      <c r="P43" s="448"/>
      <c r="Q43" s="448" t="s">
        <v>683</v>
      </c>
      <c r="R43" s="448" t="s">
        <v>683</v>
      </c>
      <c r="S43" s="448"/>
      <c r="T43" s="448" t="s">
        <v>683</v>
      </c>
      <c r="U43" s="448"/>
      <c r="V43" s="448" t="s">
        <v>683</v>
      </c>
      <c r="W43" s="337"/>
      <c r="X43" s="445">
        <f>IF(J43="X",15,0)+IF(L43="X",5,0)+IF(N43="X",15,0)+IF(P43="X",10,0)+IF(R43="X",15,0)+IF(T43="X",10,0)+IF(V43="X",30,0)</f>
        <v>90</v>
      </c>
      <c r="Y43" s="453" t="s">
        <v>771</v>
      </c>
    </row>
    <row r="44" spans="1:25" s="15" customFormat="1" ht="210" x14ac:dyDescent="0.25">
      <c r="A44" s="485"/>
      <c r="B44" s="642"/>
      <c r="C44" s="486">
        <v>13.2</v>
      </c>
      <c r="D44" s="487" t="s">
        <v>534</v>
      </c>
      <c r="E44" s="487" t="s">
        <v>557</v>
      </c>
      <c r="F44" s="448" t="s">
        <v>683</v>
      </c>
      <c r="G44" s="448"/>
      <c r="H44" s="448" t="s">
        <v>683</v>
      </c>
      <c r="I44" s="448"/>
      <c r="J44" s="448" t="s">
        <v>683</v>
      </c>
      <c r="K44" s="448"/>
      <c r="L44" s="448" t="s">
        <v>683</v>
      </c>
      <c r="M44" s="448"/>
      <c r="N44" s="448"/>
      <c r="O44" s="448" t="s">
        <v>683</v>
      </c>
      <c r="P44" s="448" t="s">
        <v>683</v>
      </c>
      <c r="Q44" s="448"/>
      <c r="R44" s="448" t="s">
        <v>683</v>
      </c>
      <c r="S44" s="448"/>
      <c r="T44" s="448" t="s">
        <v>683</v>
      </c>
      <c r="U44" s="448"/>
      <c r="V44" s="448" t="s">
        <v>683</v>
      </c>
      <c r="W44" s="337"/>
      <c r="X44" s="445">
        <f t="shared" si="0"/>
        <v>85</v>
      </c>
      <c r="Y44" s="453" t="s">
        <v>772</v>
      </c>
    </row>
    <row r="45" spans="1:25" s="15" customFormat="1" ht="114" x14ac:dyDescent="0.25">
      <c r="A45" s="485"/>
      <c r="B45" s="642"/>
      <c r="C45" s="486">
        <v>13.3</v>
      </c>
      <c r="D45" s="487" t="s">
        <v>537</v>
      </c>
      <c r="E45" s="487" t="s">
        <v>561</v>
      </c>
      <c r="F45" s="448" t="s">
        <v>683</v>
      </c>
      <c r="G45" s="448"/>
      <c r="H45" s="448" t="s">
        <v>683</v>
      </c>
      <c r="I45" s="448"/>
      <c r="J45" s="448" t="s">
        <v>683</v>
      </c>
      <c r="K45" s="448"/>
      <c r="L45" s="448" t="s">
        <v>683</v>
      </c>
      <c r="M45" s="448"/>
      <c r="N45" s="448"/>
      <c r="O45" s="448" t="s">
        <v>683</v>
      </c>
      <c r="P45" s="448" t="s">
        <v>683</v>
      </c>
      <c r="Q45" s="448"/>
      <c r="R45" s="448" t="s">
        <v>683</v>
      </c>
      <c r="S45" s="448"/>
      <c r="T45" s="448" t="s">
        <v>683</v>
      </c>
      <c r="U45" s="448"/>
      <c r="V45" s="448" t="s">
        <v>683</v>
      </c>
      <c r="W45" s="337"/>
      <c r="X45" s="445">
        <f t="shared" si="0"/>
        <v>85</v>
      </c>
      <c r="Y45" s="453" t="s">
        <v>773</v>
      </c>
    </row>
    <row r="46" spans="1:25" s="15" customFormat="1" ht="85.5" x14ac:dyDescent="0.25">
      <c r="A46" s="485"/>
      <c r="B46" s="642"/>
      <c r="C46" s="486">
        <v>13.4</v>
      </c>
      <c r="D46" s="487" t="s">
        <v>540</v>
      </c>
      <c r="E46" s="487" t="s">
        <v>565</v>
      </c>
      <c r="F46" s="448" t="s">
        <v>683</v>
      </c>
      <c r="G46" s="448"/>
      <c r="H46" s="448" t="s">
        <v>683</v>
      </c>
      <c r="I46" s="448"/>
      <c r="J46" s="448" t="s">
        <v>683</v>
      </c>
      <c r="K46" s="448"/>
      <c r="L46" s="448" t="s">
        <v>683</v>
      </c>
      <c r="M46" s="448"/>
      <c r="N46" s="448"/>
      <c r="O46" s="448" t="s">
        <v>683</v>
      </c>
      <c r="P46" s="448" t="s">
        <v>683</v>
      </c>
      <c r="Q46" s="448"/>
      <c r="R46" s="448" t="s">
        <v>683</v>
      </c>
      <c r="S46" s="448"/>
      <c r="T46" s="448" t="s">
        <v>683</v>
      </c>
      <c r="U46" s="448"/>
      <c r="V46" s="448" t="s">
        <v>683</v>
      </c>
      <c r="W46" s="337"/>
      <c r="X46" s="445">
        <f t="shared" si="0"/>
        <v>85</v>
      </c>
      <c r="Y46" s="453" t="s">
        <v>731</v>
      </c>
    </row>
    <row r="47" spans="1:25" s="15" customFormat="1" ht="135" x14ac:dyDescent="0.25">
      <c r="B47" s="643"/>
      <c r="C47" s="486">
        <v>13.5</v>
      </c>
      <c r="D47" s="487" t="s">
        <v>543</v>
      </c>
      <c r="E47" s="487" t="s">
        <v>569</v>
      </c>
      <c r="F47" s="448" t="s">
        <v>683</v>
      </c>
      <c r="G47" s="448"/>
      <c r="H47" s="448" t="s">
        <v>683</v>
      </c>
      <c r="I47" s="448"/>
      <c r="J47" s="448" t="s">
        <v>683</v>
      </c>
      <c r="K47" s="448"/>
      <c r="L47" s="448" t="s">
        <v>683</v>
      </c>
      <c r="M47" s="448"/>
      <c r="N47" s="448"/>
      <c r="O47" s="448" t="s">
        <v>683</v>
      </c>
      <c r="P47" s="448" t="s">
        <v>683</v>
      </c>
      <c r="Q47" s="448"/>
      <c r="R47" s="448" t="s">
        <v>683</v>
      </c>
      <c r="S47" s="448"/>
      <c r="T47" s="448" t="s">
        <v>683</v>
      </c>
      <c r="U47" s="448"/>
      <c r="V47" s="448" t="s">
        <v>683</v>
      </c>
      <c r="W47" s="337"/>
      <c r="X47" s="445">
        <f t="shared" si="0"/>
        <v>85</v>
      </c>
      <c r="Y47" s="453" t="s">
        <v>774</v>
      </c>
    </row>
    <row r="48" spans="1:25" ht="85.5" x14ac:dyDescent="0.25">
      <c r="A48" s="485"/>
      <c r="B48" s="644" t="s">
        <v>337</v>
      </c>
      <c r="C48" s="444">
        <v>14.1</v>
      </c>
      <c r="D48" s="338" t="s">
        <v>458</v>
      </c>
      <c r="E48" s="338" t="s">
        <v>488</v>
      </c>
      <c r="F48" s="440" t="s">
        <v>683</v>
      </c>
      <c r="G48" s="440"/>
      <c r="H48" s="440" t="s">
        <v>683</v>
      </c>
      <c r="I48" s="440"/>
      <c r="J48" s="440" t="s">
        <v>683</v>
      </c>
      <c r="K48" s="440"/>
      <c r="L48" s="440" t="s">
        <v>683</v>
      </c>
      <c r="M48" s="440"/>
      <c r="N48" s="440"/>
      <c r="O48" s="440" t="s">
        <v>683</v>
      </c>
      <c r="P48" s="440" t="s">
        <v>683</v>
      </c>
      <c r="Q48" s="440"/>
      <c r="R48" s="440" t="s">
        <v>683</v>
      </c>
      <c r="S48" s="440"/>
      <c r="T48" s="440" t="s">
        <v>683</v>
      </c>
      <c r="U48" s="440"/>
      <c r="V48" s="440" t="s">
        <v>683</v>
      </c>
      <c r="W48" s="488"/>
      <c r="X48" s="445">
        <f t="shared" si="0"/>
        <v>85</v>
      </c>
      <c r="Y48" s="453" t="s">
        <v>775</v>
      </c>
    </row>
    <row r="49" spans="1:25" ht="71.25" x14ac:dyDescent="0.25">
      <c r="B49" s="644"/>
      <c r="C49" s="444">
        <v>14.2</v>
      </c>
      <c r="D49" s="470" t="s">
        <v>483</v>
      </c>
      <c r="E49" s="470" t="s">
        <v>485</v>
      </c>
      <c r="F49" s="440" t="s">
        <v>683</v>
      </c>
      <c r="G49" s="440"/>
      <c r="H49" s="440" t="s">
        <v>683</v>
      </c>
      <c r="I49" s="440"/>
      <c r="J49" s="440" t="s">
        <v>683</v>
      </c>
      <c r="K49" s="440"/>
      <c r="L49" s="440" t="s">
        <v>683</v>
      </c>
      <c r="M49" s="440"/>
      <c r="N49" s="440"/>
      <c r="O49" s="440" t="s">
        <v>683</v>
      </c>
      <c r="P49" s="440" t="s">
        <v>683</v>
      </c>
      <c r="Q49" s="440"/>
      <c r="R49" s="440" t="s">
        <v>683</v>
      </c>
      <c r="S49" s="440"/>
      <c r="T49" s="440" t="s">
        <v>683</v>
      </c>
      <c r="U49" s="440"/>
      <c r="V49" s="440" t="s">
        <v>683</v>
      </c>
      <c r="W49" s="337"/>
      <c r="X49" s="445">
        <f t="shared" si="0"/>
        <v>85</v>
      </c>
      <c r="Y49" s="453" t="s">
        <v>705</v>
      </c>
    </row>
    <row r="50" spans="1:25" ht="99.75" x14ac:dyDescent="0.25">
      <c r="B50" s="644"/>
      <c r="C50" s="444">
        <v>14.3</v>
      </c>
      <c r="D50" s="489" t="s">
        <v>616</v>
      </c>
      <c r="E50" s="338" t="s">
        <v>618</v>
      </c>
      <c r="F50" s="440" t="s">
        <v>683</v>
      </c>
      <c r="G50" s="440"/>
      <c r="H50" s="440" t="s">
        <v>683</v>
      </c>
      <c r="I50" s="440"/>
      <c r="J50" s="440" t="s">
        <v>683</v>
      </c>
      <c r="K50" s="440"/>
      <c r="L50" s="440" t="s">
        <v>683</v>
      </c>
      <c r="M50" s="440"/>
      <c r="N50" s="440"/>
      <c r="O50" s="440" t="s">
        <v>683</v>
      </c>
      <c r="P50" s="440" t="s">
        <v>683</v>
      </c>
      <c r="Q50" s="440"/>
      <c r="R50" s="440"/>
      <c r="S50" s="440" t="s">
        <v>683</v>
      </c>
      <c r="T50" s="440" t="s">
        <v>683</v>
      </c>
      <c r="U50" s="440"/>
      <c r="V50" s="440"/>
      <c r="W50" s="337" t="s">
        <v>683</v>
      </c>
      <c r="X50" s="449">
        <f t="shared" si="0"/>
        <v>40</v>
      </c>
      <c r="Y50" s="453" t="s">
        <v>732</v>
      </c>
    </row>
    <row r="51" spans="1:25" s="15" customFormat="1" ht="120" x14ac:dyDescent="0.25">
      <c r="A51" s="485"/>
      <c r="B51" s="642" t="s">
        <v>572</v>
      </c>
      <c r="C51" s="486">
        <v>15.1</v>
      </c>
      <c r="D51" s="487" t="s">
        <v>574</v>
      </c>
      <c r="E51" s="487" t="s">
        <v>579</v>
      </c>
      <c r="F51" s="448" t="s">
        <v>683</v>
      </c>
      <c r="G51" s="448"/>
      <c r="H51" s="448" t="s">
        <v>683</v>
      </c>
      <c r="I51" s="448"/>
      <c r="J51" s="448" t="s">
        <v>683</v>
      </c>
      <c r="K51" s="448"/>
      <c r="L51" s="448" t="s">
        <v>683</v>
      </c>
      <c r="M51" s="448"/>
      <c r="N51" s="448"/>
      <c r="O51" s="448" t="s">
        <v>683</v>
      </c>
      <c r="P51" s="448" t="s">
        <v>683</v>
      </c>
      <c r="Q51" s="448"/>
      <c r="R51" s="448" t="s">
        <v>683</v>
      </c>
      <c r="S51" s="448"/>
      <c r="T51" s="448" t="s">
        <v>683</v>
      </c>
      <c r="U51" s="448"/>
      <c r="V51" s="448" t="s">
        <v>683</v>
      </c>
      <c r="W51" s="337"/>
      <c r="X51" s="445">
        <f t="shared" si="0"/>
        <v>85</v>
      </c>
      <c r="Y51" s="467" t="s">
        <v>777</v>
      </c>
    </row>
    <row r="52" spans="1:25" s="15" customFormat="1" ht="60" x14ac:dyDescent="0.25">
      <c r="A52" s="485"/>
      <c r="B52" s="643"/>
      <c r="C52" s="486">
        <v>15.2</v>
      </c>
      <c r="D52" s="487" t="s">
        <v>577</v>
      </c>
      <c r="E52" s="487" t="s">
        <v>580</v>
      </c>
      <c r="F52" s="448" t="s">
        <v>683</v>
      </c>
      <c r="G52" s="448"/>
      <c r="H52" s="448" t="s">
        <v>683</v>
      </c>
      <c r="I52" s="448"/>
      <c r="J52" s="448" t="s">
        <v>683</v>
      </c>
      <c r="K52" s="448"/>
      <c r="L52" s="448" t="s">
        <v>683</v>
      </c>
      <c r="M52" s="448"/>
      <c r="N52" s="448"/>
      <c r="O52" s="448" t="s">
        <v>683</v>
      </c>
      <c r="P52" s="448" t="s">
        <v>683</v>
      </c>
      <c r="Q52" s="448"/>
      <c r="R52" s="448" t="s">
        <v>683</v>
      </c>
      <c r="S52" s="448"/>
      <c r="T52" s="448" t="s">
        <v>683</v>
      </c>
      <c r="U52" s="448"/>
      <c r="V52" s="448" t="s">
        <v>683</v>
      </c>
      <c r="W52" s="337"/>
      <c r="X52" s="445">
        <f t="shared" si="0"/>
        <v>85</v>
      </c>
      <c r="Y52" s="453" t="s">
        <v>778</v>
      </c>
    </row>
    <row r="53" spans="1:25" ht="39" customHeight="1" x14ac:dyDescent="0.25">
      <c r="B53" s="645" t="s">
        <v>684</v>
      </c>
      <c r="C53" s="645"/>
      <c r="D53" s="645"/>
      <c r="E53" s="645"/>
      <c r="F53" s="645"/>
      <c r="G53" s="645"/>
      <c r="H53" s="645"/>
      <c r="I53" s="645"/>
      <c r="J53" s="645"/>
      <c r="K53" s="645"/>
      <c r="L53" s="645"/>
      <c r="M53" s="645"/>
      <c r="N53" s="645"/>
      <c r="O53" s="645"/>
      <c r="P53" s="645"/>
      <c r="Q53" s="645"/>
      <c r="R53" s="645"/>
      <c r="S53" s="645"/>
      <c r="T53" s="645"/>
      <c r="U53" s="645"/>
      <c r="V53" s="645"/>
      <c r="W53" s="645"/>
      <c r="X53" s="450"/>
      <c r="Y53" s="451"/>
    </row>
    <row r="56" spans="1:25" x14ac:dyDescent="0.25">
      <c r="C56" s="633" t="s">
        <v>742</v>
      </c>
      <c r="D56" s="633"/>
      <c r="E56" s="362"/>
      <c r="F56" s="634" t="s">
        <v>742</v>
      </c>
      <c r="G56" s="634"/>
      <c r="H56" s="634"/>
      <c r="I56" s="634"/>
      <c r="J56" s="634"/>
      <c r="K56" s="634"/>
      <c r="L56" s="55"/>
    </row>
    <row r="57" spans="1:25" x14ac:dyDescent="0.25">
      <c r="C57" s="363" t="s">
        <v>685</v>
      </c>
      <c r="D57" s="363"/>
      <c r="E57" s="364"/>
      <c r="F57" s="365" t="s">
        <v>492</v>
      </c>
      <c r="G57" s="365"/>
      <c r="H57" s="365"/>
      <c r="I57" s="365"/>
      <c r="J57" s="365"/>
      <c r="K57" s="365"/>
      <c r="L57" s="55"/>
    </row>
    <row r="58" spans="1:25" x14ac:dyDescent="0.25">
      <c r="C58" s="232" t="s">
        <v>706</v>
      </c>
      <c r="F58" s="232" t="s">
        <v>707</v>
      </c>
      <c r="G58" s="171"/>
    </row>
  </sheetData>
  <mergeCells count="43">
    <mergeCell ref="C56:D56"/>
    <mergeCell ref="F56:K56"/>
    <mergeCell ref="B19:B22"/>
    <mergeCell ref="B24:B27"/>
    <mergeCell ref="B28:B30"/>
    <mergeCell ref="B31:B33"/>
    <mergeCell ref="B34:B36"/>
    <mergeCell ref="B37:B38"/>
    <mergeCell ref="B39:B42"/>
    <mergeCell ref="B43:B47"/>
    <mergeCell ref="B48:B50"/>
    <mergeCell ref="B51:B52"/>
    <mergeCell ref="B53:W53"/>
    <mergeCell ref="B7:B10"/>
    <mergeCell ref="B11:B15"/>
    <mergeCell ref="B16:B18"/>
    <mergeCell ref="T2:U2"/>
    <mergeCell ref="V2:W2"/>
    <mergeCell ref="X2:X3"/>
    <mergeCell ref="Y2:Y3"/>
    <mergeCell ref="B4:B6"/>
    <mergeCell ref="H2:I2"/>
    <mergeCell ref="J2:K2"/>
    <mergeCell ref="L2:M2"/>
    <mergeCell ref="N2:O2"/>
    <mergeCell ref="P2:Q2"/>
    <mergeCell ref="R2:S2"/>
    <mergeCell ref="B2:B3"/>
    <mergeCell ref="C2:C3"/>
    <mergeCell ref="D2:D3"/>
    <mergeCell ref="E2:E3"/>
    <mergeCell ref="F2:G2"/>
    <mergeCell ref="P1:Q1"/>
    <mergeCell ref="R1:S1"/>
    <mergeCell ref="T1:U1"/>
    <mergeCell ref="V1:W1"/>
    <mergeCell ref="X1:Y1"/>
    <mergeCell ref="N1:O1"/>
    <mergeCell ref="B1:E1"/>
    <mergeCell ref="F1:G1"/>
    <mergeCell ref="H1:I1"/>
    <mergeCell ref="J1:K1"/>
    <mergeCell ref="L1:M1"/>
  </mergeCells>
  <dataValidations count="1">
    <dataValidation type="list" allowBlank="1" showDropDown="1" showInputMessage="1" showErrorMessage="1" sqref="S14:S15 U14:U15 W14:W15 H14:Q18 L19:Q20 V16:W18 H19:H20 J19:J20 U24:V25 R25:S25 H24:O24 H25:M25 O25:P25 Q24:S24 H26:V26 H27:S27 H28:Q28 H29:H30 J29:Q30 S28:S30 T27:U52 F14:G20 W20 R16:U20 V19:V20 H23:V23 F21:W22 W23:W47 H31:S52 F23:G52 V27:V48 V49:W52 R4:W13 F4:P13 Q4:Q12" xr:uid="{00000000-0002-0000-0F00-000000000000}">
      <formula1>"X"</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499984740745262"/>
    <pageSetUpPr autoPageBreaks="0" fitToPage="1"/>
  </sheetPr>
  <dimension ref="A1:AZ31"/>
  <sheetViews>
    <sheetView showGridLines="0" topLeftCell="A2" zoomScale="55" zoomScaleNormal="55" workbookViewId="0">
      <selection activeCell="A17" sqref="A17"/>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31" customWidth="1"/>
    <col min="8" max="8" width="7.7109375" style="31" customWidth="1"/>
    <col min="9" max="12" width="5.7109375" style="4" customWidth="1"/>
    <col min="13" max="13" width="13.140625" style="31" customWidth="1"/>
    <col min="14" max="14" width="7.7109375" style="31" customWidth="1"/>
    <col min="15" max="15" width="14.7109375" style="4" customWidth="1"/>
    <col min="16" max="16" width="11.42578125" style="4"/>
    <col min="17" max="17" width="5.7109375" style="4" customWidth="1"/>
    <col min="18" max="18" width="36.7109375" style="4" customWidth="1"/>
    <col min="19" max="22" width="5.7109375" style="4" customWidth="1"/>
    <col min="23" max="23" width="12.85546875" style="31" customWidth="1"/>
    <col min="24" max="24" width="10.7109375" style="31" customWidth="1"/>
    <col min="25" max="28" width="5.7109375" style="4" customWidth="1"/>
    <col min="29" max="29" width="14.140625" style="31" customWidth="1"/>
    <col min="30" max="30" width="10.7109375" style="31" customWidth="1"/>
    <col min="31" max="31" width="12.7109375" style="4" customWidth="1"/>
    <col min="32" max="32" width="11.42578125" style="4"/>
    <col min="33" max="33" width="27.28515625" style="4" bestFit="1" customWidth="1"/>
    <col min="34" max="50" width="5.7109375" style="4" customWidth="1"/>
    <col min="51" max="51" width="11.42578125" style="4"/>
    <col min="52" max="52" width="17.140625" style="4" customWidth="1"/>
    <col min="53" max="16384" width="11.42578125" style="4"/>
  </cols>
  <sheetData>
    <row r="1" spans="1:52" ht="48" customHeight="1" x14ac:dyDescent="0.25">
      <c r="C1" s="649" t="s">
        <v>260</v>
      </c>
      <c r="D1" s="649"/>
      <c r="E1" s="649"/>
      <c r="F1" s="649"/>
      <c r="G1" s="649"/>
      <c r="H1" s="649"/>
      <c r="I1" s="649"/>
      <c r="J1" s="649"/>
      <c r="K1" s="649"/>
      <c r="L1" s="649"/>
      <c r="M1" s="649"/>
      <c r="N1" s="649"/>
      <c r="O1" s="649"/>
      <c r="W1" s="4"/>
      <c r="X1" s="4"/>
      <c r="AC1" s="4"/>
      <c r="AD1" s="4"/>
    </row>
    <row r="2" spans="1:52" ht="36" customHeight="1" x14ac:dyDescent="0.25">
      <c r="C2" s="654" t="s">
        <v>222</v>
      </c>
      <c r="D2" s="654"/>
      <c r="E2" s="654"/>
      <c r="F2" s="654"/>
      <c r="G2" s="654"/>
      <c r="H2" s="654"/>
      <c r="I2" s="654" t="s">
        <v>223</v>
      </c>
      <c r="J2" s="654"/>
      <c r="K2" s="654"/>
      <c r="L2" s="654"/>
      <c r="M2" s="654"/>
      <c r="N2" s="654"/>
      <c r="O2" s="650" t="s">
        <v>208</v>
      </c>
      <c r="W2" s="4"/>
      <c r="X2" s="4"/>
      <c r="AC2" s="4"/>
      <c r="AD2" s="4"/>
    </row>
    <row r="3" spans="1:52" s="61" customFormat="1" ht="36" customHeight="1" thickBot="1" x14ac:dyDescent="0.3">
      <c r="C3" s="651" t="s">
        <v>94</v>
      </c>
      <c r="D3" s="651"/>
      <c r="E3" s="651"/>
      <c r="F3" s="651"/>
      <c r="G3" s="631" t="s">
        <v>93</v>
      </c>
      <c r="H3" s="652" t="s">
        <v>113</v>
      </c>
      <c r="I3" s="651" t="s">
        <v>94</v>
      </c>
      <c r="J3" s="651"/>
      <c r="K3" s="651"/>
      <c r="L3" s="651"/>
      <c r="M3" s="631" t="s">
        <v>93</v>
      </c>
      <c r="N3" s="652" t="s">
        <v>113</v>
      </c>
      <c r="O3" s="650"/>
      <c r="AG3" s="648" t="s">
        <v>150</v>
      </c>
      <c r="AH3" s="648"/>
      <c r="AI3" s="648"/>
      <c r="AJ3" s="648"/>
      <c r="AK3" s="648"/>
      <c r="AL3" s="648"/>
      <c r="AM3" s="648"/>
      <c r="AN3" s="648"/>
      <c r="AO3" s="648"/>
      <c r="AP3" s="648"/>
      <c r="AQ3" s="648"/>
      <c r="AR3" s="648"/>
      <c r="AS3" s="648"/>
      <c r="AT3" s="648"/>
      <c r="AU3" s="648"/>
      <c r="AV3" s="648"/>
      <c r="AW3" s="648"/>
      <c r="AX3" s="648"/>
      <c r="AY3" s="648"/>
      <c r="AZ3" s="648"/>
    </row>
    <row r="4" spans="1:52" s="2" customFormat="1" ht="63" thickBot="1" x14ac:dyDescent="0.3">
      <c r="A4" s="59" t="s">
        <v>96</v>
      </c>
      <c r="B4" s="60" t="s">
        <v>88</v>
      </c>
      <c r="C4" s="34" t="s">
        <v>52</v>
      </c>
      <c r="D4" s="34" t="s">
        <v>53</v>
      </c>
      <c r="E4" s="34" t="s">
        <v>54</v>
      </c>
      <c r="F4" s="34" t="s">
        <v>55</v>
      </c>
      <c r="G4" s="631"/>
      <c r="H4" s="653"/>
      <c r="I4" s="34" t="s">
        <v>52</v>
      </c>
      <c r="J4" s="34" t="s">
        <v>53</v>
      </c>
      <c r="K4" s="34" t="s">
        <v>54</v>
      </c>
      <c r="L4" s="34" t="s">
        <v>55</v>
      </c>
      <c r="M4" s="631"/>
      <c r="N4" s="653"/>
      <c r="O4" s="650"/>
      <c r="Q4" s="64" t="s">
        <v>96</v>
      </c>
      <c r="R4" s="65" t="s">
        <v>88</v>
      </c>
      <c r="S4" s="64" t="s">
        <v>52</v>
      </c>
      <c r="T4" s="64" t="s">
        <v>53</v>
      </c>
      <c r="U4" s="64" t="s">
        <v>54</v>
      </c>
      <c r="V4" s="64" t="s">
        <v>55</v>
      </c>
      <c r="W4" s="63" t="s">
        <v>93</v>
      </c>
      <c r="X4" s="34" t="s">
        <v>129</v>
      </c>
      <c r="Y4" s="64" t="s">
        <v>52</v>
      </c>
      <c r="Z4" s="64" t="s">
        <v>53</v>
      </c>
      <c r="AA4" s="64" t="s">
        <v>54</v>
      </c>
      <c r="AB4" s="64" t="s">
        <v>55</v>
      </c>
      <c r="AC4" s="63" t="s">
        <v>93</v>
      </c>
      <c r="AD4" s="64" t="s">
        <v>129</v>
      </c>
      <c r="AE4" s="63" t="s">
        <v>130</v>
      </c>
      <c r="AG4" s="107" t="s">
        <v>146</v>
      </c>
      <c r="AH4" s="108">
        <v>1</v>
      </c>
      <c r="AI4" s="108">
        <v>2</v>
      </c>
      <c r="AJ4" s="108">
        <v>3</v>
      </c>
      <c r="AK4" s="108">
        <v>4</v>
      </c>
      <c r="AL4" s="108">
        <v>5</v>
      </c>
      <c r="AM4" s="108">
        <v>6</v>
      </c>
      <c r="AN4" s="108">
        <v>7</v>
      </c>
      <c r="AO4" s="108">
        <v>8</v>
      </c>
      <c r="AP4" s="108">
        <v>9</v>
      </c>
      <c r="AQ4" s="108">
        <v>10</v>
      </c>
      <c r="AR4" s="108">
        <v>11</v>
      </c>
      <c r="AS4" s="108">
        <v>12</v>
      </c>
      <c r="AT4" s="108">
        <v>13</v>
      </c>
      <c r="AU4" s="108">
        <v>14</v>
      </c>
      <c r="AV4" s="108">
        <v>15</v>
      </c>
      <c r="AW4" s="108">
        <v>16</v>
      </c>
      <c r="AX4" s="108">
        <v>17</v>
      </c>
      <c r="AY4" s="108" t="s">
        <v>147</v>
      </c>
      <c r="AZ4" s="108" t="s">
        <v>148</v>
      </c>
    </row>
    <row r="5" spans="1:52" ht="30" customHeight="1" thickTop="1" thickBot="1" x14ac:dyDescent="0.3">
      <c r="A5" s="31">
        <v>1</v>
      </c>
      <c r="B5" s="235" t="s">
        <v>85</v>
      </c>
      <c r="C5" s="3">
        <f>'(1) Planeación'!I14</f>
        <v>0</v>
      </c>
      <c r="D5" s="3">
        <f>'(1) Planeación'!I15</f>
        <v>0</v>
      </c>
      <c r="E5" s="3">
        <f>'(1) Planeación'!I16</f>
        <v>1</v>
      </c>
      <c r="F5" s="3">
        <f>'(1) Planeación'!I17</f>
        <v>2</v>
      </c>
      <c r="G5" s="33">
        <f>SUM(C5:F5)</f>
        <v>3</v>
      </c>
      <c r="H5" s="62">
        <f>IF(F5&gt;0,F5/G5,IF(E5&gt;0,E5/G5,0))</f>
        <v>0.66666666666666663</v>
      </c>
      <c r="I5" s="3">
        <f>'(1) Planeación'!P14</f>
        <v>3</v>
      </c>
      <c r="J5" s="3">
        <f>'(1) Planeación'!P15</f>
        <v>0</v>
      </c>
      <c r="K5" s="3">
        <f>'(1) Planeación'!P16</f>
        <v>0</v>
      </c>
      <c r="L5" s="3">
        <f>'(1) Planeación'!P17</f>
        <v>0</v>
      </c>
      <c r="M5" s="35">
        <f>SUM(I5:L5)</f>
        <v>3</v>
      </c>
      <c r="N5" s="62">
        <f>IF(L5&gt;0,L5/M5,IF(K5&gt;0,K5/M5,0))</f>
        <v>0</v>
      </c>
      <c r="O5" s="54">
        <f>H5-N5</f>
        <v>0.66666666666666663</v>
      </c>
      <c r="Q5" s="65">
        <v>1</v>
      </c>
      <c r="R5" s="71" t="s">
        <v>85</v>
      </c>
      <c r="S5" s="66">
        <v>0</v>
      </c>
      <c r="T5" s="66">
        <v>0</v>
      </c>
      <c r="U5" s="66">
        <v>1</v>
      </c>
      <c r="V5" s="66">
        <v>1</v>
      </c>
      <c r="W5" s="65">
        <f>SUM(S5:V5)</f>
        <v>2</v>
      </c>
      <c r="X5" s="67">
        <v>0.5</v>
      </c>
      <c r="Y5" s="66">
        <v>0</v>
      </c>
      <c r="Z5" s="66">
        <v>1</v>
      </c>
      <c r="AA5" s="66">
        <v>0</v>
      </c>
      <c r="AB5" s="66">
        <v>1</v>
      </c>
      <c r="AC5" s="68">
        <f>SUM(Y5:AB5)</f>
        <v>2</v>
      </c>
      <c r="AD5" s="67">
        <v>0.5</v>
      </c>
      <c r="AE5" s="69">
        <v>0</v>
      </c>
      <c r="AG5" s="151" t="s">
        <v>31</v>
      </c>
      <c r="AH5" s="152"/>
      <c r="AI5" s="152"/>
      <c r="AJ5" s="153">
        <v>3</v>
      </c>
      <c r="AK5" s="152"/>
      <c r="AL5" s="152"/>
      <c r="AM5" s="153">
        <v>1</v>
      </c>
      <c r="AN5" s="152"/>
      <c r="AO5" s="152"/>
      <c r="AP5" s="152"/>
      <c r="AQ5" s="152"/>
      <c r="AR5" s="152"/>
      <c r="AS5" s="152"/>
      <c r="AT5" s="152"/>
      <c r="AU5" s="152"/>
      <c r="AV5" s="152"/>
      <c r="AW5" s="152"/>
      <c r="AX5" s="152"/>
      <c r="AY5" s="154">
        <f>SUM(AH5:AX5)</f>
        <v>4</v>
      </c>
      <c r="AZ5" s="155">
        <f>AY5/$AY$11</f>
        <v>5.7142857142857141E-2</v>
      </c>
    </row>
    <row r="6" spans="1:52" ht="30" customHeight="1" thickTop="1" thickBot="1" x14ac:dyDescent="0.3">
      <c r="A6" s="31">
        <v>2</v>
      </c>
      <c r="B6" s="235" t="s">
        <v>73</v>
      </c>
      <c r="C6" s="3">
        <f>'(2) Control Interno'!I15</f>
        <v>0</v>
      </c>
      <c r="D6" s="3">
        <f>'(2) Control Interno'!I16</f>
        <v>0</v>
      </c>
      <c r="E6" s="3">
        <f>'(2) Control Interno'!I17</f>
        <v>2</v>
      </c>
      <c r="F6" s="3">
        <f>'(2) Control Interno'!I18</f>
        <v>2</v>
      </c>
      <c r="G6" s="189">
        <f t="shared" ref="G6:G18" si="0">SUM(C6:F6)</f>
        <v>4</v>
      </c>
      <c r="H6" s="62">
        <f t="shared" ref="H6:H16" si="1">IF(F6&gt;0,F6/G6,IF(E6&gt;0,E6/G6,0))</f>
        <v>0.5</v>
      </c>
      <c r="I6" s="3">
        <f>'(2) Control Interno'!P15</f>
        <v>1</v>
      </c>
      <c r="J6" s="3">
        <f>'(2) Control Interno'!P16</f>
        <v>2</v>
      </c>
      <c r="K6" s="3">
        <f>'(2) Control Interno'!P17</f>
        <v>1</v>
      </c>
      <c r="L6" s="3">
        <f>'(2) Control Interno'!P18</f>
        <v>0</v>
      </c>
      <c r="M6" s="35">
        <f t="shared" ref="M6:M18" si="2">SUM(I6:L6)</f>
        <v>4</v>
      </c>
      <c r="N6" s="62">
        <f t="shared" ref="N6:N18" si="3">IF(L6&gt;0,L6/M6,IF(K6&gt;0,K6/M6,0))</f>
        <v>0.25</v>
      </c>
      <c r="O6" s="54">
        <f t="shared" ref="O6:O18" si="4">H6-N6</f>
        <v>0.25</v>
      </c>
      <c r="Q6" s="65">
        <v>2</v>
      </c>
      <c r="R6" s="71" t="s">
        <v>73</v>
      </c>
      <c r="S6" s="66">
        <v>0</v>
      </c>
      <c r="T6" s="66">
        <v>0</v>
      </c>
      <c r="U6" s="66">
        <v>0</v>
      </c>
      <c r="V6" s="66">
        <v>4</v>
      </c>
      <c r="W6" s="65">
        <f t="shared" ref="W6:W17" si="5">SUM(S6:V6)</f>
        <v>4</v>
      </c>
      <c r="X6" s="67">
        <v>1</v>
      </c>
      <c r="Y6" s="66">
        <v>0</v>
      </c>
      <c r="Z6" s="66">
        <v>0</v>
      </c>
      <c r="AA6" s="66">
        <v>0</v>
      </c>
      <c r="AB6" s="66">
        <v>4</v>
      </c>
      <c r="AC6" s="68">
        <f>SUM(Y6:AB6)</f>
        <v>4</v>
      </c>
      <c r="AD6" s="67">
        <v>1</v>
      </c>
      <c r="AE6" s="69">
        <v>0</v>
      </c>
      <c r="AG6" s="156" t="s">
        <v>32</v>
      </c>
      <c r="AH6" s="157"/>
      <c r="AI6" s="157"/>
      <c r="AJ6" s="157"/>
      <c r="AK6" s="158">
        <v>1</v>
      </c>
      <c r="AL6" s="157"/>
      <c r="AM6" s="158">
        <v>2</v>
      </c>
      <c r="AN6" s="158">
        <v>5</v>
      </c>
      <c r="AO6" s="157"/>
      <c r="AP6" s="157"/>
      <c r="AQ6" s="157"/>
      <c r="AR6" s="157"/>
      <c r="AS6" s="158">
        <v>3</v>
      </c>
      <c r="AT6" s="157"/>
      <c r="AU6" s="158">
        <v>1</v>
      </c>
      <c r="AV6" s="158">
        <v>2</v>
      </c>
      <c r="AW6" s="158">
        <v>1</v>
      </c>
      <c r="AX6" s="158">
        <v>2</v>
      </c>
      <c r="AY6" s="154">
        <f t="shared" ref="AY6:AY10" si="6">SUM(AH6:AX6)</f>
        <v>17</v>
      </c>
      <c r="AZ6" s="159">
        <f t="shared" ref="AZ6:AZ10" si="7">AY6/$AY$11</f>
        <v>0.24285714285714285</v>
      </c>
    </row>
    <row r="7" spans="1:52" ht="30" customHeight="1" thickTop="1" thickBot="1" x14ac:dyDescent="0.3">
      <c r="A7" s="31">
        <v>3</v>
      </c>
      <c r="B7" s="235" t="s">
        <v>86</v>
      </c>
      <c r="C7" s="3">
        <f>'(3) Juridica'!I16</f>
        <v>0</v>
      </c>
      <c r="D7" s="3">
        <f>'(3) Juridica'!I17</f>
        <v>0</v>
      </c>
      <c r="E7" s="3">
        <f>'(3) Juridica'!I18</f>
        <v>2</v>
      </c>
      <c r="F7" s="3">
        <f>'(3) Juridica'!I19</f>
        <v>3</v>
      </c>
      <c r="G7" s="189">
        <f t="shared" si="0"/>
        <v>5</v>
      </c>
      <c r="H7" s="62">
        <f t="shared" si="1"/>
        <v>0.6</v>
      </c>
      <c r="I7" s="3">
        <f>'(3) Juridica'!P16</f>
        <v>1</v>
      </c>
      <c r="J7" s="3">
        <f>'(3) Juridica'!P17</f>
        <v>1</v>
      </c>
      <c r="K7" s="3">
        <f>'(3) Juridica'!P18</f>
        <v>3</v>
      </c>
      <c r="L7" s="3">
        <f>'(3) Juridica'!P19</f>
        <v>0</v>
      </c>
      <c r="M7" s="35">
        <f t="shared" si="2"/>
        <v>5</v>
      </c>
      <c r="N7" s="62">
        <f t="shared" si="3"/>
        <v>0.6</v>
      </c>
      <c r="O7" s="54">
        <f t="shared" si="4"/>
        <v>0</v>
      </c>
      <c r="Q7" s="65">
        <v>3</v>
      </c>
      <c r="R7" s="71" t="s">
        <v>86</v>
      </c>
      <c r="S7" s="66">
        <v>0</v>
      </c>
      <c r="T7" s="66">
        <v>0</v>
      </c>
      <c r="U7" s="66">
        <v>0</v>
      </c>
      <c r="V7" s="66">
        <v>8</v>
      </c>
      <c r="W7" s="65">
        <f t="shared" si="5"/>
        <v>8</v>
      </c>
      <c r="X7" s="67">
        <v>1</v>
      </c>
      <c r="Y7" s="66">
        <v>0</v>
      </c>
      <c r="Z7" s="66">
        <v>0</v>
      </c>
      <c r="AA7" s="66">
        <v>0</v>
      </c>
      <c r="AB7" s="66">
        <v>8</v>
      </c>
      <c r="AC7" s="68">
        <f t="shared" ref="AC7:AC17" si="8">SUM(Y7:AB7)</f>
        <v>8</v>
      </c>
      <c r="AD7" s="67">
        <v>1</v>
      </c>
      <c r="AE7" s="69">
        <v>0</v>
      </c>
      <c r="AG7" s="156" t="s">
        <v>15</v>
      </c>
      <c r="AH7" s="157"/>
      <c r="AI7" s="157"/>
      <c r="AJ7" s="157"/>
      <c r="AK7" s="158">
        <v>5</v>
      </c>
      <c r="AL7" s="158">
        <v>1</v>
      </c>
      <c r="AM7" s="157"/>
      <c r="AN7" s="157"/>
      <c r="AO7" s="158">
        <v>1</v>
      </c>
      <c r="AP7" s="157"/>
      <c r="AQ7" s="158">
        <v>1</v>
      </c>
      <c r="AR7" s="158">
        <v>4</v>
      </c>
      <c r="AS7" s="157"/>
      <c r="AT7" s="158">
        <v>2</v>
      </c>
      <c r="AU7" s="157"/>
      <c r="AV7" s="157"/>
      <c r="AW7" s="158">
        <v>1</v>
      </c>
      <c r="AX7" s="157"/>
      <c r="AY7" s="154">
        <f t="shared" si="6"/>
        <v>15</v>
      </c>
      <c r="AZ7" s="159">
        <f t="shared" si="7"/>
        <v>0.21428571428571427</v>
      </c>
    </row>
    <row r="8" spans="1:52" ht="30" customHeight="1" thickTop="1" thickBot="1" x14ac:dyDescent="0.3">
      <c r="A8" s="31">
        <v>4</v>
      </c>
      <c r="B8" s="235" t="s">
        <v>87</v>
      </c>
      <c r="C8" s="3">
        <f>'(4) Calidad'!I14</f>
        <v>0</v>
      </c>
      <c r="D8" s="3">
        <f>'(4) Calidad'!I15</f>
        <v>0</v>
      </c>
      <c r="E8" s="3">
        <f>'(4) Calidad'!I16</f>
        <v>2</v>
      </c>
      <c r="F8" s="3">
        <f>'(4) Calidad'!I17</f>
        <v>1</v>
      </c>
      <c r="G8" s="189">
        <f t="shared" si="0"/>
        <v>3</v>
      </c>
      <c r="H8" s="62">
        <f>IF(F8&gt;0,F8/G8,IF(E8&gt;0,E8/G8,0))</f>
        <v>0.33333333333333331</v>
      </c>
      <c r="I8" s="3">
        <f>'(4) Calidad'!P14</f>
        <v>0</v>
      </c>
      <c r="J8" s="3">
        <f>'(4) Calidad'!P15</f>
        <v>2</v>
      </c>
      <c r="K8" s="3">
        <f>'(4) Calidad'!P16</f>
        <v>1</v>
      </c>
      <c r="L8" s="3">
        <f>'(4) Calidad'!P17</f>
        <v>0</v>
      </c>
      <c r="M8" s="35">
        <f t="shared" si="2"/>
        <v>3</v>
      </c>
      <c r="N8" s="62">
        <f t="shared" si="3"/>
        <v>0.33333333333333331</v>
      </c>
      <c r="O8" s="54">
        <f>H8-N8</f>
        <v>0</v>
      </c>
      <c r="Q8" s="65">
        <v>4</v>
      </c>
      <c r="R8" s="71" t="s">
        <v>87</v>
      </c>
      <c r="S8" s="66">
        <v>0</v>
      </c>
      <c r="T8" s="66">
        <v>0</v>
      </c>
      <c r="U8" s="66">
        <v>1</v>
      </c>
      <c r="V8" s="66">
        <v>2</v>
      </c>
      <c r="W8" s="65">
        <f t="shared" si="5"/>
        <v>3</v>
      </c>
      <c r="X8" s="67">
        <v>0.66666666666666663</v>
      </c>
      <c r="Y8" s="66">
        <v>0</v>
      </c>
      <c r="Z8" s="66">
        <v>1</v>
      </c>
      <c r="AA8" s="66">
        <v>0</v>
      </c>
      <c r="AB8" s="66">
        <v>2</v>
      </c>
      <c r="AC8" s="68">
        <f t="shared" si="8"/>
        <v>3</v>
      </c>
      <c r="AD8" s="67">
        <v>0.66666666666666663</v>
      </c>
      <c r="AE8" s="69">
        <v>0</v>
      </c>
      <c r="AG8" s="156" t="s">
        <v>27</v>
      </c>
      <c r="AH8" s="158">
        <v>2</v>
      </c>
      <c r="AI8" s="158">
        <v>1</v>
      </c>
      <c r="AJ8" s="158">
        <v>1</v>
      </c>
      <c r="AK8" s="158">
        <v>2</v>
      </c>
      <c r="AL8" s="158">
        <v>2</v>
      </c>
      <c r="AM8" s="158">
        <v>3</v>
      </c>
      <c r="AN8" s="157"/>
      <c r="AO8" s="158">
        <v>3</v>
      </c>
      <c r="AP8" s="158">
        <v>2</v>
      </c>
      <c r="AQ8" s="157"/>
      <c r="AR8" s="157"/>
      <c r="AS8" s="158">
        <v>1</v>
      </c>
      <c r="AT8" s="158">
        <v>1</v>
      </c>
      <c r="AU8" s="158">
        <v>2</v>
      </c>
      <c r="AV8" s="157"/>
      <c r="AW8" s="157"/>
      <c r="AX8" s="158">
        <v>1</v>
      </c>
      <c r="AY8" s="154">
        <f t="shared" si="6"/>
        <v>21</v>
      </c>
      <c r="AZ8" s="159">
        <f t="shared" si="7"/>
        <v>0.3</v>
      </c>
    </row>
    <row r="9" spans="1:52" ht="30" customHeight="1" thickTop="1" thickBot="1" x14ac:dyDescent="0.3">
      <c r="A9" s="31">
        <v>5</v>
      </c>
      <c r="B9" s="32" t="s">
        <v>69</v>
      </c>
      <c r="C9" s="3">
        <f>'(5) Talento Humano'!I15</f>
        <v>0</v>
      </c>
      <c r="D9" s="3">
        <f>'(5) Talento Humano'!I16</f>
        <v>2</v>
      </c>
      <c r="E9" s="3">
        <f>'(5) Talento Humano'!I17</f>
        <v>2</v>
      </c>
      <c r="F9" s="3">
        <f>'(5) Talento Humano'!I18</f>
        <v>0</v>
      </c>
      <c r="G9" s="189">
        <f t="shared" si="0"/>
        <v>4</v>
      </c>
      <c r="H9" s="62">
        <f t="shared" si="1"/>
        <v>0.5</v>
      </c>
      <c r="I9" s="3">
        <f>'(5) Talento Humano'!P15</f>
        <v>3</v>
      </c>
      <c r="J9" s="3">
        <f>'(5) Talento Humano'!P16</f>
        <v>1</v>
      </c>
      <c r="K9" s="3">
        <f>'(5) Talento Humano'!P17</f>
        <v>0</v>
      </c>
      <c r="L9" s="3">
        <f>'(5) Talento Humano'!P18</f>
        <v>0</v>
      </c>
      <c r="M9" s="35">
        <f t="shared" si="2"/>
        <v>4</v>
      </c>
      <c r="N9" s="62">
        <f t="shared" si="3"/>
        <v>0</v>
      </c>
      <c r="O9" s="54">
        <f t="shared" si="4"/>
        <v>0.5</v>
      </c>
      <c r="Q9" s="65">
        <v>5</v>
      </c>
      <c r="R9" s="71" t="s">
        <v>69</v>
      </c>
      <c r="S9" s="66">
        <v>0</v>
      </c>
      <c r="T9" s="66">
        <v>0</v>
      </c>
      <c r="U9" s="66">
        <v>4</v>
      </c>
      <c r="V9" s="66">
        <v>3</v>
      </c>
      <c r="W9" s="65">
        <f t="shared" si="5"/>
        <v>7</v>
      </c>
      <c r="X9" s="67">
        <v>0.42857142857142855</v>
      </c>
      <c r="Y9" s="66">
        <v>0</v>
      </c>
      <c r="Z9" s="66">
        <v>4</v>
      </c>
      <c r="AA9" s="66">
        <v>1</v>
      </c>
      <c r="AB9" s="66">
        <v>2</v>
      </c>
      <c r="AC9" s="68">
        <f t="shared" si="8"/>
        <v>7</v>
      </c>
      <c r="AD9" s="67">
        <v>0.2857142857142857</v>
      </c>
      <c r="AE9" s="69">
        <v>0.14285714285714285</v>
      </c>
      <c r="AG9" s="156" t="s">
        <v>33</v>
      </c>
      <c r="AH9" s="157"/>
      <c r="AI9" s="157"/>
      <c r="AJ9" s="157"/>
      <c r="AK9" s="157"/>
      <c r="AL9" s="157"/>
      <c r="AM9" s="157"/>
      <c r="AN9" s="157"/>
      <c r="AO9" s="157"/>
      <c r="AP9" s="157"/>
      <c r="AQ9" s="157"/>
      <c r="AR9" s="157"/>
      <c r="AS9" s="157"/>
      <c r="AT9" s="158">
        <v>1</v>
      </c>
      <c r="AU9" s="158">
        <v>1</v>
      </c>
      <c r="AV9" s="157"/>
      <c r="AW9" s="157"/>
      <c r="AX9" s="157"/>
      <c r="AY9" s="154">
        <f t="shared" si="6"/>
        <v>2</v>
      </c>
      <c r="AZ9" s="159">
        <f t="shared" si="7"/>
        <v>2.8571428571428571E-2</v>
      </c>
    </row>
    <row r="10" spans="1:52" ht="30" customHeight="1" thickTop="1" thickBot="1" x14ac:dyDescent="0.3">
      <c r="A10" s="31">
        <v>6</v>
      </c>
      <c r="B10" s="32" t="s">
        <v>74</v>
      </c>
      <c r="C10" s="3">
        <f>'(6) Seguridad y Salud T'!I12</f>
        <v>0</v>
      </c>
      <c r="D10" s="3">
        <f>'(6) Seguridad y Salud T'!I13</f>
        <v>0</v>
      </c>
      <c r="E10" s="3">
        <f>'(6) Seguridad y Salud T'!I14</f>
        <v>1</v>
      </c>
      <c r="F10" s="3">
        <f>'(6) Seguridad y Salud T'!I15</f>
        <v>0</v>
      </c>
      <c r="G10" s="189">
        <f t="shared" si="0"/>
        <v>1</v>
      </c>
      <c r="H10" s="62">
        <f t="shared" si="1"/>
        <v>1</v>
      </c>
      <c r="I10" s="3">
        <f>'(6) Seguridad y Salud T'!P12</f>
        <v>1</v>
      </c>
      <c r="J10" s="3">
        <f>'(6) Seguridad y Salud T'!P13</f>
        <v>0</v>
      </c>
      <c r="K10" s="3">
        <f>'(6) Seguridad y Salud T'!P14</f>
        <v>0</v>
      </c>
      <c r="L10" s="3">
        <f>'(6) Seguridad y Salud T'!P15</f>
        <v>0</v>
      </c>
      <c r="M10" s="35">
        <f t="shared" si="2"/>
        <v>1</v>
      </c>
      <c r="N10" s="62">
        <f t="shared" si="3"/>
        <v>0</v>
      </c>
      <c r="O10" s="54">
        <f t="shared" si="4"/>
        <v>1</v>
      </c>
      <c r="Q10" s="65">
        <v>6</v>
      </c>
      <c r="R10" s="71" t="s">
        <v>74</v>
      </c>
      <c r="S10" s="66">
        <v>2</v>
      </c>
      <c r="T10" s="66">
        <v>0</v>
      </c>
      <c r="U10" s="66">
        <v>2</v>
      </c>
      <c r="V10" s="66">
        <v>1</v>
      </c>
      <c r="W10" s="65">
        <f t="shared" si="5"/>
        <v>5</v>
      </c>
      <c r="X10" s="67">
        <v>0.2</v>
      </c>
      <c r="Y10" s="66">
        <v>2</v>
      </c>
      <c r="Z10" s="66">
        <v>2</v>
      </c>
      <c r="AA10" s="66">
        <v>0</v>
      </c>
      <c r="AB10" s="66">
        <v>1</v>
      </c>
      <c r="AC10" s="68">
        <f t="shared" si="8"/>
        <v>5</v>
      </c>
      <c r="AD10" s="67">
        <v>0.2</v>
      </c>
      <c r="AE10" s="69">
        <v>0</v>
      </c>
      <c r="AG10" s="148" t="s">
        <v>76</v>
      </c>
      <c r="AH10" s="149"/>
      <c r="AI10" s="149"/>
      <c r="AJ10" s="149"/>
      <c r="AK10" s="149"/>
      <c r="AL10" s="149"/>
      <c r="AM10" s="150">
        <v>1</v>
      </c>
      <c r="AN10" s="149"/>
      <c r="AO10" s="150">
        <v>1</v>
      </c>
      <c r="AP10" s="150">
        <v>1</v>
      </c>
      <c r="AQ10" s="149"/>
      <c r="AR10" s="149"/>
      <c r="AS10" s="150">
        <v>1</v>
      </c>
      <c r="AT10" s="150">
        <v>2</v>
      </c>
      <c r="AU10" s="149"/>
      <c r="AV10" s="150">
        <v>2</v>
      </c>
      <c r="AW10" s="150">
        <v>2</v>
      </c>
      <c r="AX10" s="150">
        <v>1</v>
      </c>
      <c r="AY10" s="154">
        <f t="shared" si="6"/>
        <v>11</v>
      </c>
      <c r="AZ10" s="159">
        <f t="shared" si="7"/>
        <v>0.15714285714285714</v>
      </c>
    </row>
    <row r="11" spans="1:52" ht="30" customHeight="1" thickBot="1" x14ac:dyDescent="0.3">
      <c r="A11" s="31">
        <v>7</v>
      </c>
      <c r="B11" s="32" t="s">
        <v>89</v>
      </c>
      <c r="C11" s="3">
        <f>'(11) Presupuesto'!I13</f>
        <v>0</v>
      </c>
      <c r="D11" s="3">
        <f>'(11) Presupuesto'!I14</f>
        <v>0</v>
      </c>
      <c r="E11" s="3">
        <f>'(11) Presupuesto'!I15</f>
        <v>2</v>
      </c>
      <c r="F11" s="3">
        <f>'(11) Presupuesto'!I16</f>
        <v>0</v>
      </c>
      <c r="G11" s="189">
        <f t="shared" si="0"/>
        <v>2</v>
      </c>
      <c r="H11" s="62">
        <f t="shared" si="1"/>
        <v>1</v>
      </c>
      <c r="I11" s="3">
        <f>'(11) Presupuesto'!P13</f>
        <v>0</v>
      </c>
      <c r="J11" s="3">
        <f>'(11) Presupuesto'!P14</f>
        <v>2</v>
      </c>
      <c r="K11" s="3">
        <f>'(11) Presupuesto'!P15</f>
        <v>0</v>
      </c>
      <c r="L11" s="3">
        <f>'(11) Presupuesto'!P16</f>
        <v>0</v>
      </c>
      <c r="M11" s="35">
        <f t="shared" si="2"/>
        <v>2</v>
      </c>
      <c r="N11" s="62">
        <f t="shared" si="3"/>
        <v>0</v>
      </c>
      <c r="O11" s="54">
        <f t="shared" si="4"/>
        <v>1</v>
      </c>
      <c r="Q11" s="65">
        <v>7</v>
      </c>
      <c r="R11" s="71" t="s">
        <v>89</v>
      </c>
      <c r="S11" s="66">
        <v>4</v>
      </c>
      <c r="T11" s="66">
        <v>0</v>
      </c>
      <c r="U11" s="66">
        <v>1</v>
      </c>
      <c r="V11" s="66">
        <v>0</v>
      </c>
      <c r="W11" s="65">
        <f t="shared" si="5"/>
        <v>5</v>
      </c>
      <c r="X11" s="67">
        <v>0.2</v>
      </c>
      <c r="Y11" s="66">
        <v>4</v>
      </c>
      <c r="Z11" s="66">
        <v>1</v>
      </c>
      <c r="AA11" s="66">
        <v>0</v>
      </c>
      <c r="AB11" s="66">
        <v>0</v>
      </c>
      <c r="AC11" s="68">
        <f t="shared" si="8"/>
        <v>5</v>
      </c>
      <c r="AD11" s="67">
        <v>0</v>
      </c>
      <c r="AE11" s="69">
        <v>0.2</v>
      </c>
      <c r="AG11" s="109" t="s">
        <v>149</v>
      </c>
      <c r="AH11" s="110">
        <v>2</v>
      </c>
      <c r="AI11" s="110">
        <v>1</v>
      </c>
      <c r="AJ11" s="110">
        <v>4</v>
      </c>
      <c r="AK11" s="110">
        <v>8</v>
      </c>
      <c r="AL11" s="110">
        <v>3</v>
      </c>
      <c r="AM11" s="110">
        <v>7</v>
      </c>
      <c r="AN11" s="110">
        <v>5</v>
      </c>
      <c r="AO11" s="110">
        <v>5</v>
      </c>
      <c r="AP11" s="110">
        <v>3</v>
      </c>
      <c r="AQ11" s="110">
        <v>1</v>
      </c>
      <c r="AR11" s="110">
        <v>4</v>
      </c>
      <c r="AS11" s="110">
        <v>5</v>
      </c>
      <c r="AT11" s="110">
        <v>6</v>
      </c>
      <c r="AU11" s="110">
        <v>4</v>
      </c>
      <c r="AV11" s="110">
        <v>4</v>
      </c>
      <c r="AW11" s="110">
        <v>4</v>
      </c>
      <c r="AX11" s="110">
        <v>4</v>
      </c>
      <c r="AY11" s="111">
        <f>SUM(AY5:AY10)</f>
        <v>70</v>
      </c>
      <c r="AZ11" s="112">
        <v>1</v>
      </c>
    </row>
    <row r="12" spans="1:52" ht="30" customHeight="1" x14ac:dyDescent="0.25">
      <c r="A12" s="31">
        <v>8</v>
      </c>
      <c r="B12" s="32" t="s">
        <v>80</v>
      </c>
      <c r="C12" s="3">
        <f>'(10) Contabilidad'!I14</f>
        <v>0</v>
      </c>
      <c r="D12" s="3">
        <f>'(10) Contabilidad'!I15</f>
        <v>0</v>
      </c>
      <c r="E12" s="3">
        <f>'(10) Contabilidad'!I16</f>
        <v>3</v>
      </c>
      <c r="F12" s="3">
        <f>'(10) Contabilidad'!I17</f>
        <v>0</v>
      </c>
      <c r="G12" s="189">
        <f t="shared" si="0"/>
        <v>3</v>
      </c>
      <c r="H12" s="62">
        <f t="shared" si="1"/>
        <v>1</v>
      </c>
      <c r="I12" s="3">
        <f>'(10) Contabilidad'!P14</f>
        <v>1</v>
      </c>
      <c r="J12" s="3">
        <f>'(10) Contabilidad'!P15</f>
        <v>2</v>
      </c>
      <c r="K12" s="3">
        <f>'(10) Contabilidad'!P16</f>
        <v>0</v>
      </c>
      <c r="L12" s="3">
        <f>'(10) Contabilidad'!P17</f>
        <v>0</v>
      </c>
      <c r="M12" s="35">
        <f t="shared" si="2"/>
        <v>3</v>
      </c>
      <c r="N12" s="62">
        <f t="shared" si="3"/>
        <v>0</v>
      </c>
      <c r="O12" s="54">
        <f t="shared" si="4"/>
        <v>1</v>
      </c>
      <c r="Q12" s="65">
        <v>8</v>
      </c>
      <c r="R12" s="71" t="s">
        <v>80</v>
      </c>
      <c r="S12" s="66">
        <v>1</v>
      </c>
      <c r="T12" s="66">
        <v>0</v>
      </c>
      <c r="U12" s="66">
        <v>2</v>
      </c>
      <c r="V12" s="66">
        <v>0</v>
      </c>
      <c r="W12" s="65">
        <f t="shared" si="5"/>
        <v>3</v>
      </c>
      <c r="X12" s="67">
        <v>0.66666666666666663</v>
      </c>
      <c r="Y12" s="66">
        <v>0</v>
      </c>
      <c r="Z12" s="66">
        <v>2</v>
      </c>
      <c r="AA12" s="66">
        <v>1</v>
      </c>
      <c r="AB12" s="66">
        <v>0</v>
      </c>
      <c r="AC12" s="68">
        <f t="shared" si="8"/>
        <v>3</v>
      </c>
      <c r="AD12" s="67">
        <v>0.33333333333333331</v>
      </c>
      <c r="AE12" s="69">
        <v>0.33333333333333331</v>
      </c>
    </row>
    <row r="13" spans="1:52" ht="30" customHeight="1" x14ac:dyDescent="0.25">
      <c r="A13" s="31">
        <v>9</v>
      </c>
      <c r="B13" s="32" t="s">
        <v>90</v>
      </c>
      <c r="C13" s="3">
        <f>'(12) Tesorería'!I15</f>
        <v>1</v>
      </c>
      <c r="D13" s="3">
        <f>'(12) Tesorería'!I16</f>
        <v>3</v>
      </c>
      <c r="E13" s="3">
        <f>'(12) Tesorería'!I17</f>
        <v>0</v>
      </c>
      <c r="F13" s="3">
        <f>'(12) Tesorería'!I18</f>
        <v>0</v>
      </c>
      <c r="G13" s="189">
        <f t="shared" si="0"/>
        <v>4</v>
      </c>
      <c r="H13" s="62">
        <f t="shared" si="1"/>
        <v>0</v>
      </c>
      <c r="I13" s="3">
        <f>'(12) Tesorería'!P15</f>
        <v>3</v>
      </c>
      <c r="J13" s="3">
        <f>'(12) Tesorería'!P16</f>
        <v>1</v>
      </c>
      <c r="K13" s="3">
        <f>'(12) Tesorería'!P17</f>
        <v>0</v>
      </c>
      <c r="L13" s="3">
        <f>'(12) Tesorería'!P18</f>
        <v>0</v>
      </c>
      <c r="M13" s="35">
        <f t="shared" si="2"/>
        <v>4</v>
      </c>
      <c r="N13" s="62">
        <f t="shared" si="3"/>
        <v>0</v>
      </c>
      <c r="O13" s="54">
        <f t="shared" si="4"/>
        <v>0</v>
      </c>
      <c r="Q13" s="65">
        <v>9</v>
      </c>
      <c r="R13" s="71" t="s">
        <v>90</v>
      </c>
      <c r="S13" s="66">
        <v>4</v>
      </c>
      <c r="T13" s="66">
        <v>0</v>
      </c>
      <c r="U13" s="66">
        <v>2</v>
      </c>
      <c r="V13" s="66">
        <v>0</v>
      </c>
      <c r="W13" s="65">
        <f t="shared" si="5"/>
        <v>6</v>
      </c>
      <c r="X13" s="67">
        <v>0.33333333333333331</v>
      </c>
      <c r="Y13" s="66">
        <v>5</v>
      </c>
      <c r="Z13" s="66">
        <v>1</v>
      </c>
      <c r="AA13" s="66">
        <v>0</v>
      </c>
      <c r="AB13" s="66">
        <v>0</v>
      </c>
      <c r="AC13" s="68">
        <f t="shared" si="8"/>
        <v>6</v>
      </c>
      <c r="AD13" s="67">
        <v>0</v>
      </c>
      <c r="AE13" s="69">
        <v>0.33333333333333331</v>
      </c>
    </row>
    <row r="14" spans="1:52" ht="30" customHeight="1" x14ac:dyDescent="0.25">
      <c r="A14" s="169">
        <v>10</v>
      </c>
      <c r="B14" s="32" t="s">
        <v>91</v>
      </c>
      <c r="C14" s="3">
        <v>3</v>
      </c>
      <c r="D14" s="3">
        <v>1</v>
      </c>
      <c r="E14" s="3">
        <v>0</v>
      </c>
      <c r="F14" s="3">
        <v>0</v>
      </c>
      <c r="G14" s="193">
        <v>4</v>
      </c>
      <c r="H14" s="62">
        <v>0</v>
      </c>
      <c r="I14" s="3">
        <v>4</v>
      </c>
      <c r="J14" s="3">
        <v>0</v>
      </c>
      <c r="K14" s="3">
        <v>0</v>
      </c>
      <c r="L14" s="3">
        <v>0</v>
      </c>
      <c r="M14" s="35">
        <v>4</v>
      </c>
      <c r="N14" s="62">
        <v>0</v>
      </c>
      <c r="O14" s="54">
        <v>0</v>
      </c>
      <c r="Q14" s="65">
        <v>10</v>
      </c>
      <c r="R14" s="71" t="s">
        <v>91</v>
      </c>
      <c r="S14" s="66">
        <v>2</v>
      </c>
      <c r="T14" s="66">
        <v>0</v>
      </c>
      <c r="U14" s="66">
        <v>2</v>
      </c>
      <c r="V14" s="66">
        <v>0</v>
      </c>
      <c r="W14" s="65">
        <f t="shared" si="5"/>
        <v>4</v>
      </c>
      <c r="X14" s="67">
        <v>0.5</v>
      </c>
      <c r="Y14" s="66">
        <v>2</v>
      </c>
      <c r="Z14" s="66">
        <v>1</v>
      </c>
      <c r="AA14" s="66">
        <v>1</v>
      </c>
      <c r="AB14" s="66">
        <v>0</v>
      </c>
      <c r="AC14" s="68">
        <f t="shared" si="8"/>
        <v>4</v>
      </c>
      <c r="AD14" s="67">
        <v>0.25</v>
      </c>
      <c r="AE14" s="69">
        <v>0.25</v>
      </c>
    </row>
    <row r="15" spans="1:52" ht="30" customHeight="1" x14ac:dyDescent="0.25">
      <c r="A15" s="169">
        <v>11</v>
      </c>
      <c r="B15" s="32" t="s">
        <v>92</v>
      </c>
      <c r="C15" s="3">
        <f>'(7) Sistemas'!H14</f>
        <v>0</v>
      </c>
      <c r="D15" s="3">
        <f>'(7) Sistemas'!H15</f>
        <v>0</v>
      </c>
      <c r="E15" s="3">
        <f>'(7) Sistemas'!H16</f>
        <v>2</v>
      </c>
      <c r="F15" s="3">
        <f>'(7) Sistemas'!H17</f>
        <v>2</v>
      </c>
      <c r="G15" s="189">
        <f t="shared" si="0"/>
        <v>4</v>
      </c>
      <c r="H15" s="62">
        <f t="shared" si="1"/>
        <v>0.5</v>
      </c>
      <c r="I15" s="3">
        <f>'(7) Sistemas'!O14</f>
        <v>2</v>
      </c>
      <c r="J15" s="3">
        <f>'(7) Sistemas'!O15</f>
        <v>0</v>
      </c>
      <c r="K15" s="3">
        <f>'(7) Sistemas'!O16</f>
        <v>2</v>
      </c>
      <c r="L15" s="3">
        <f>'(7) Sistemas'!O17</f>
        <v>0</v>
      </c>
      <c r="M15" s="35">
        <f t="shared" si="2"/>
        <v>4</v>
      </c>
      <c r="N15" s="62">
        <f t="shared" si="3"/>
        <v>0.5</v>
      </c>
      <c r="O15" s="54">
        <f t="shared" si="4"/>
        <v>0</v>
      </c>
      <c r="Q15" s="65">
        <v>11</v>
      </c>
      <c r="R15" s="71" t="s">
        <v>92</v>
      </c>
      <c r="S15" s="66">
        <v>3</v>
      </c>
      <c r="T15" s="66">
        <v>0</v>
      </c>
      <c r="U15" s="66">
        <v>1</v>
      </c>
      <c r="V15" s="66">
        <v>0</v>
      </c>
      <c r="W15" s="65">
        <f t="shared" si="5"/>
        <v>4</v>
      </c>
      <c r="X15" s="67">
        <v>0.25</v>
      </c>
      <c r="Y15" s="66">
        <v>3</v>
      </c>
      <c r="Z15" s="66">
        <v>0</v>
      </c>
      <c r="AA15" s="66">
        <v>0</v>
      </c>
      <c r="AB15" s="66">
        <v>1</v>
      </c>
      <c r="AC15" s="68">
        <f t="shared" si="8"/>
        <v>4</v>
      </c>
      <c r="AD15" s="67">
        <v>0.25</v>
      </c>
      <c r="AE15" s="69">
        <v>0</v>
      </c>
    </row>
    <row r="16" spans="1:52" ht="30" customHeight="1" x14ac:dyDescent="0.25">
      <c r="A16" s="169">
        <v>12</v>
      </c>
      <c r="B16" s="32" t="s">
        <v>225</v>
      </c>
      <c r="C16" s="3">
        <f>'(8) Gestión Documental'!I14</f>
        <v>0</v>
      </c>
      <c r="D16" s="3">
        <f>'(8) Gestión Documental'!I15</f>
        <v>1</v>
      </c>
      <c r="E16" s="3">
        <f>'(8) Gestión Documental'!I16</f>
        <v>0</v>
      </c>
      <c r="F16" s="3">
        <f>'(8) Gestión Documental'!I17</f>
        <v>2</v>
      </c>
      <c r="G16" s="189">
        <f t="shared" si="0"/>
        <v>3</v>
      </c>
      <c r="H16" s="62">
        <f t="shared" si="1"/>
        <v>0.66666666666666663</v>
      </c>
      <c r="I16" s="3">
        <f>'(8) Gestión Documental'!P14</f>
        <v>2</v>
      </c>
      <c r="J16" s="3">
        <f>'(8) Gestión Documental'!P15</f>
        <v>1</v>
      </c>
      <c r="K16" s="3">
        <f>'(8) Gestión Documental'!P16</f>
        <v>0</v>
      </c>
      <c r="L16" s="3">
        <f>'(8) Gestión Documental'!P17</f>
        <v>0</v>
      </c>
      <c r="M16" s="35">
        <f t="shared" si="2"/>
        <v>3</v>
      </c>
      <c r="N16" s="62">
        <f t="shared" si="3"/>
        <v>0</v>
      </c>
      <c r="O16" s="54">
        <f t="shared" si="4"/>
        <v>0.66666666666666663</v>
      </c>
      <c r="Q16" s="65">
        <v>12</v>
      </c>
      <c r="R16" s="71" t="s">
        <v>225</v>
      </c>
      <c r="S16" s="66">
        <v>1</v>
      </c>
      <c r="T16" s="66">
        <v>0</v>
      </c>
      <c r="U16" s="66">
        <v>2</v>
      </c>
      <c r="V16" s="66">
        <v>1</v>
      </c>
      <c r="W16" s="65">
        <f t="shared" si="5"/>
        <v>4</v>
      </c>
      <c r="X16" s="67">
        <v>0.25</v>
      </c>
      <c r="Y16" s="66">
        <v>1</v>
      </c>
      <c r="Z16" s="66">
        <v>2</v>
      </c>
      <c r="AA16" s="66">
        <v>0</v>
      </c>
      <c r="AB16" s="66">
        <v>1</v>
      </c>
      <c r="AC16" s="68">
        <f t="shared" si="8"/>
        <v>4</v>
      </c>
      <c r="AD16" s="67">
        <v>0.25</v>
      </c>
      <c r="AE16" s="69">
        <v>0</v>
      </c>
    </row>
    <row r="17" spans="1:31" ht="30" customHeight="1" x14ac:dyDescent="0.25">
      <c r="A17" s="169">
        <v>13</v>
      </c>
      <c r="B17" s="32" t="s">
        <v>258</v>
      </c>
      <c r="C17" s="3">
        <f>'(9) Cartera'!I14</f>
        <v>0</v>
      </c>
      <c r="D17" s="3">
        <f>'(9) Cartera'!I15</f>
        <v>1</v>
      </c>
      <c r="E17" s="3">
        <f>'(9) Cartera'!I16</f>
        <v>1</v>
      </c>
      <c r="F17" s="3">
        <f>'(9) Cartera'!I17</f>
        <v>1</v>
      </c>
      <c r="G17" s="189">
        <f t="shared" si="0"/>
        <v>3</v>
      </c>
      <c r="H17" s="62">
        <f t="shared" ref="H17" si="9">IF(F17&gt;0,F17/G17,IF(E17&gt;0,E17/G17,0))</f>
        <v>0.33333333333333331</v>
      </c>
      <c r="I17" s="3">
        <f>'(9) Cartera'!P14</f>
        <v>2</v>
      </c>
      <c r="J17" s="3">
        <f>'(9) Cartera'!P15</f>
        <v>1</v>
      </c>
      <c r="K17" s="3">
        <f>'(9) Cartera'!P16</f>
        <v>0</v>
      </c>
      <c r="L17" s="3">
        <f>'(9) Cartera'!P17</f>
        <v>0</v>
      </c>
      <c r="M17" s="35">
        <f t="shared" ref="M17" si="10">SUM(I17:L17)</f>
        <v>3</v>
      </c>
      <c r="N17" s="62">
        <f t="shared" ref="N17" si="11">IF(L17&gt;0,L17/M17,IF(K17&gt;0,K17/M17,0))</f>
        <v>0</v>
      </c>
      <c r="O17" s="54">
        <f t="shared" ref="O17" si="12">H17-N17</f>
        <v>0.33333333333333331</v>
      </c>
      <c r="Q17" s="65">
        <v>13</v>
      </c>
      <c r="R17" s="71" t="s">
        <v>259</v>
      </c>
      <c r="S17" s="66">
        <v>0</v>
      </c>
      <c r="T17" s="66">
        <v>0</v>
      </c>
      <c r="U17" s="66">
        <v>1</v>
      </c>
      <c r="V17" s="66">
        <v>3</v>
      </c>
      <c r="W17" s="65">
        <f t="shared" si="5"/>
        <v>4</v>
      </c>
      <c r="X17" s="67">
        <v>0.75</v>
      </c>
      <c r="Y17" s="66">
        <v>0</v>
      </c>
      <c r="Z17" s="66">
        <v>1</v>
      </c>
      <c r="AA17" s="66">
        <v>1</v>
      </c>
      <c r="AB17" s="66">
        <v>2</v>
      </c>
      <c r="AC17" s="68">
        <f t="shared" si="8"/>
        <v>4</v>
      </c>
      <c r="AD17" s="67">
        <v>0.5</v>
      </c>
      <c r="AE17" s="69">
        <v>0.25</v>
      </c>
    </row>
    <row r="18" spans="1:31" ht="30" customHeight="1" thickBot="1" x14ac:dyDescent="0.3">
      <c r="A18" s="169"/>
      <c r="B18" s="164" t="s">
        <v>95</v>
      </c>
      <c r="C18" s="165">
        <f>SUM(C5:C17)</f>
        <v>4</v>
      </c>
      <c r="D18" s="165">
        <f>SUM(D5:D17)</f>
        <v>8</v>
      </c>
      <c r="E18" s="165">
        <f>SUM(E5:E17)</f>
        <v>18</v>
      </c>
      <c r="F18" s="165">
        <f>SUM(F5:F17)</f>
        <v>13</v>
      </c>
      <c r="G18" s="125">
        <f t="shared" si="0"/>
        <v>43</v>
      </c>
      <c r="H18" s="166">
        <f>IF(F18&gt;0,F18/G18,IF(E18&gt;0,E18/G18,0))</f>
        <v>0.30232558139534882</v>
      </c>
      <c r="I18" s="165">
        <f>SUM(I5:I17)</f>
        <v>23</v>
      </c>
      <c r="J18" s="165">
        <f>SUM(J5:J17)</f>
        <v>13</v>
      </c>
      <c r="K18" s="165">
        <f>SUM(K5:K17)</f>
        <v>7</v>
      </c>
      <c r="L18" s="165">
        <f>SUM(L5:L17)</f>
        <v>0</v>
      </c>
      <c r="M18" s="167">
        <f t="shared" si="2"/>
        <v>43</v>
      </c>
      <c r="N18" s="166">
        <f t="shared" si="3"/>
        <v>0.16279069767441862</v>
      </c>
      <c r="O18" s="168">
        <f t="shared" si="4"/>
        <v>0.1395348837209302</v>
      </c>
      <c r="Q18" s="163"/>
      <c r="R18" s="71"/>
      <c r="S18" s="66"/>
      <c r="T18" s="66"/>
      <c r="U18" s="66"/>
      <c r="V18" s="66"/>
      <c r="W18" s="65"/>
      <c r="X18" s="67"/>
      <c r="Y18" s="66"/>
      <c r="Z18" s="66"/>
      <c r="AA18" s="66"/>
      <c r="AB18" s="66"/>
      <c r="AC18" s="68"/>
      <c r="AD18" s="67"/>
      <c r="AE18" s="69"/>
    </row>
    <row r="19" spans="1:31" ht="30" customHeight="1" x14ac:dyDescent="0.25">
      <c r="A19" s="169"/>
      <c r="Q19" s="70"/>
      <c r="R19" s="65" t="s">
        <v>95</v>
      </c>
      <c r="S19" s="65">
        <f>SUM(S5:S18)</f>
        <v>17</v>
      </c>
      <c r="T19" s="65">
        <f t="shared" ref="T19:W19" si="13">SUM(T5:T18)</f>
        <v>0</v>
      </c>
      <c r="U19" s="65">
        <f t="shared" si="13"/>
        <v>19</v>
      </c>
      <c r="V19" s="65">
        <f t="shared" si="13"/>
        <v>23</v>
      </c>
      <c r="W19" s="65">
        <f t="shared" si="13"/>
        <v>59</v>
      </c>
      <c r="X19" s="67">
        <v>0.35714285714285715</v>
      </c>
      <c r="Y19" s="65">
        <f>SUM(Y5:Y18)</f>
        <v>17</v>
      </c>
      <c r="Z19" s="65">
        <f t="shared" ref="Z19:AC19" si="14">SUM(Z5:Z18)</f>
        <v>16</v>
      </c>
      <c r="AA19" s="65">
        <f t="shared" si="14"/>
        <v>4</v>
      </c>
      <c r="AB19" s="65">
        <f t="shared" si="14"/>
        <v>22</v>
      </c>
      <c r="AC19" s="65">
        <f t="shared" si="14"/>
        <v>59</v>
      </c>
      <c r="AD19" s="67">
        <v>0.34285714285714286</v>
      </c>
      <c r="AE19" s="69">
        <v>1.428571428571429E-2</v>
      </c>
    </row>
    <row r="20" spans="1:31" ht="30" customHeight="1" x14ac:dyDescent="0.25">
      <c r="A20" s="169"/>
    </row>
    <row r="21" spans="1:31" ht="30" customHeight="1" x14ac:dyDescent="0.25">
      <c r="A21" s="169"/>
      <c r="B21" s="169"/>
    </row>
    <row r="22" spans="1:31" ht="30" customHeight="1" x14ac:dyDescent="0.25">
      <c r="A22" s="169"/>
      <c r="B22" s="237" t="s">
        <v>209</v>
      </c>
      <c r="C22" s="646" t="s">
        <v>338</v>
      </c>
      <c r="D22" s="646"/>
      <c r="E22" s="646"/>
      <c r="F22" s="646"/>
      <c r="G22" s="646"/>
      <c r="H22" s="646"/>
      <c r="I22" s="646"/>
      <c r="J22" s="646"/>
      <c r="K22" s="646"/>
      <c r="L22" s="646"/>
      <c r="M22" s="646"/>
      <c r="N22" s="646"/>
      <c r="O22" s="646"/>
    </row>
    <row r="23" spans="1:31" ht="30" customHeight="1" x14ac:dyDescent="0.25">
      <c r="A23" s="169"/>
      <c r="B23" s="237" t="s">
        <v>261</v>
      </c>
      <c r="C23" s="646" t="s">
        <v>339</v>
      </c>
      <c r="D23" s="646"/>
      <c r="E23" s="646"/>
      <c r="F23" s="646"/>
      <c r="G23" s="646"/>
      <c r="H23" s="646"/>
      <c r="I23" s="646"/>
      <c r="J23" s="646"/>
      <c r="K23" s="646"/>
      <c r="L23" s="646"/>
      <c r="M23" s="646"/>
      <c r="N23" s="646"/>
      <c r="O23" s="236"/>
    </row>
    <row r="24" spans="1:31" ht="30" customHeight="1" x14ac:dyDescent="0.25">
      <c r="A24" s="169"/>
      <c r="B24" s="238" t="s">
        <v>210</v>
      </c>
      <c r="C24" s="647" t="s">
        <v>340</v>
      </c>
      <c r="D24" s="647"/>
      <c r="E24" s="647"/>
      <c r="F24" s="647"/>
      <c r="G24" s="647"/>
      <c r="H24" s="647"/>
      <c r="I24" s="647"/>
      <c r="J24" s="647"/>
      <c r="K24" s="647"/>
      <c r="L24" s="647"/>
      <c r="M24" s="647"/>
      <c r="N24" s="647"/>
      <c r="O24" s="647"/>
      <c r="W24" s="169"/>
      <c r="X24" s="169"/>
      <c r="AC24" s="169"/>
      <c r="AD24" s="169"/>
    </row>
    <row r="25" spans="1:31" ht="30" customHeight="1" x14ac:dyDescent="0.25">
      <c r="A25" s="169"/>
    </row>
    <row r="26" spans="1:31" s="31" customFormat="1" ht="30" customHeight="1" x14ac:dyDescent="0.25">
      <c r="A26" s="4"/>
      <c r="B26" s="4"/>
      <c r="C26" s="4"/>
      <c r="D26" s="4"/>
      <c r="E26" s="4"/>
      <c r="F26" s="4"/>
      <c r="I26" s="4"/>
      <c r="J26" s="4"/>
      <c r="K26" s="4"/>
      <c r="L26" s="4"/>
      <c r="O26" s="4"/>
      <c r="Q26" s="4"/>
      <c r="R26" s="4"/>
      <c r="S26" s="4"/>
      <c r="T26" s="4"/>
      <c r="U26" s="4"/>
      <c r="V26" s="4"/>
      <c r="Y26" s="4"/>
      <c r="Z26" s="4"/>
      <c r="AA26" s="4"/>
      <c r="AB26" s="4"/>
      <c r="AE26" s="4"/>
    </row>
    <row r="30" spans="1:31" ht="12" customHeight="1" x14ac:dyDescent="0.25"/>
    <row r="31" spans="1:31" ht="12" customHeight="1" x14ac:dyDescent="0.25"/>
  </sheetData>
  <customSheetViews>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C22:O22"/>
    <mergeCell ref="C24:O24"/>
    <mergeCell ref="AG3:AZ3"/>
    <mergeCell ref="C1:O1"/>
    <mergeCell ref="O2:O4"/>
    <mergeCell ref="I3:L3"/>
    <mergeCell ref="H3:H4"/>
    <mergeCell ref="C2:H2"/>
    <mergeCell ref="N3:N4"/>
    <mergeCell ref="I2:N2"/>
    <mergeCell ref="M3:M4"/>
    <mergeCell ref="C3:F3"/>
    <mergeCell ref="G3:G4"/>
    <mergeCell ref="C23:N23"/>
  </mergeCells>
  <conditionalFormatting sqref="M5:M18 AC5:AC18">
    <cfRule type="cellIs" dxfId="10" priority="23" operator="notEqual">
      <formula>$G5</formula>
    </cfRule>
  </conditionalFormatting>
  <conditionalFormatting sqref="N5:N18 H5:H18">
    <cfRule type="cellIs" dxfId="9" priority="17" operator="greaterThan">
      <formula>0.5</formula>
    </cfRule>
    <cfRule type="cellIs" dxfId="8" priority="18" operator="lessThanOrEqual">
      <formula>0.2</formula>
    </cfRule>
  </conditionalFormatting>
  <conditionalFormatting sqref="X5:X19 AD5:AD19">
    <cfRule type="cellIs" dxfId="7" priority="11" operator="greaterThan">
      <formula>0.5</formula>
    </cfRule>
    <cfRule type="cellIs" dxfId="6" priority="12" operator="lessThanOrEqual">
      <formula>0.2</formula>
    </cfRule>
  </conditionalFormatting>
  <conditionalFormatting sqref="O5:O18">
    <cfRule type="cellIs" dxfId="5" priority="9" operator="lessThan">
      <formula>0</formula>
    </cfRule>
    <cfRule type="cellIs" dxfId="4" priority="10" operator="greaterThan">
      <formula>0</formula>
    </cfRule>
  </conditionalFormatting>
  <printOptions horizontalCentered="1"/>
  <pageMargins left="1.0236220472440944" right="0.70866141732283472" top="1.1811023622047245" bottom="0.94488188976377963" header="0.31496062992125984" footer="0.31496062992125984"/>
  <pageSetup scale="74" orientation="portrait" r:id="rId20"/>
  <drawing r:id="rId2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AH17"/>
  <sheetViews>
    <sheetView showGridLines="0" topLeftCell="A16" zoomScale="70" zoomScaleNormal="70" workbookViewId="0">
      <selection activeCell="A17" sqref="A17"/>
    </sheetView>
  </sheetViews>
  <sheetFormatPr baseColWidth="10" defaultRowHeight="15" x14ac:dyDescent="0.25"/>
  <cols>
    <col min="1" max="1" width="4.7109375" customWidth="1"/>
    <col min="2" max="2" width="3.7109375" style="5" customWidth="1"/>
    <col min="3" max="3" width="5.7109375" style="37" customWidth="1"/>
    <col min="4" max="8" width="16.7109375" style="5" customWidth="1"/>
    <col min="9" max="10" width="7.7109375" customWidth="1"/>
    <col min="11" max="11" width="3.7109375" style="5" customWidth="1"/>
    <col min="12" max="12" width="5.7109375" style="37" customWidth="1"/>
    <col min="13" max="17" width="16.7109375" style="5" customWidth="1"/>
  </cols>
  <sheetData>
    <row r="1" spans="1:34" ht="96" customHeight="1" x14ac:dyDescent="0.25">
      <c r="A1" s="145"/>
      <c r="B1" s="145"/>
      <c r="C1" s="145"/>
      <c r="D1" s="145"/>
      <c r="E1" s="659" t="s">
        <v>128</v>
      </c>
      <c r="F1" s="659"/>
      <c r="G1" s="659"/>
      <c r="H1" s="659"/>
      <c r="I1" s="659"/>
      <c r="J1" s="659"/>
      <c r="K1" s="659"/>
      <c r="L1" s="659"/>
      <c r="M1" s="659"/>
      <c r="N1" s="659"/>
      <c r="O1" s="659"/>
      <c r="P1" s="659"/>
      <c r="Q1" s="659"/>
    </row>
    <row r="2" spans="1:34" ht="36" customHeight="1" x14ac:dyDescent="0.25"/>
    <row r="3" spans="1:34" s="5" customFormat="1" ht="36" customHeight="1" x14ac:dyDescent="0.2">
      <c r="A3" s="20"/>
      <c r="B3" s="660" t="s">
        <v>213</v>
      </c>
      <c r="C3" s="660"/>
      <c r="D3" s="660"/>
      <c r="E3" s="660"/>
      <c r="F3" s="660"/>
      <c r="G3" s="660"/>
      <c r="H3" s="660"/>
      <c r="I3" s="13"/>
      <c r="K3" s="660" t="s">
        <v>219</v>
      </c>
      <c r="L3" s="660"/>
      <c r="M3" s="660"/>
      <c r="N3" s="660"/>
      <c r="O3" s="660"/>
      <c r="P3" s="660"/>
      <c r="Q3" s="660"/>
      <c r="R3" s="13"/>
      <c r="V3" s="18"/>
      <c r="AB3" s="655"/>
      <c r="AC3" s="655"/>
      <c r="AD3" s="655"/>
      <c r="AE3" s="655"/>
      <c r="AF3" s="655"/>
      <c r="AG3" s="655"/>
      <c r="AH3" s="655"/>
    </row>
    <row r="4" spans="1:34" s="5" customFormat="1" ht="80.099999999999994" customHeight="1" x14ac:dyDescent="0.2">
      <c r="A4" s="20"/>
      <c r="B4" s="656" t="s">
        <v>111</v>
      </c>
      <c r="C4" s="37" t="s">
        <v>105</v>
      </c>
      <c r="D4" s="182">
        <v>1</v>
      </c>
      <c r="E4" s="180">
        <v>4</v>
      </c>
      <c r="F4" s="176">
        <v>2</v>
      </c>
      <c r="G4" s="178"/>
      <c r="H4" s="178"/>
      <c r="I4" s="13"/>
      <c r="K4" s="656" t="s">
        <v>111</v>
      </c>
      <c r="L4" s="37" t="s">
        <v>105</v>
      </c>
      <c r="M4" s="182">
        <v>1</v>
      </c>
      <c r="N4" s="180">
        <v>1</v>
      </c>
      <c r="O4" s="176">
        <v>2</v>
      </c>
      <c r="P4" s="178"/>
      <c r="Q4" s="178"/>
      <c r="R4" s="13"/>
      <c r="V4" s="18"/>
      <c r="AB4" s="656"/>
      <c r="AC4" s="37"/>
      <c r="AD4" s="46"/>
      <c r="AE4" s="42"/>
      <c r="AF4" s="43"/>
      <c r="AG4" s="43"/>
      <c r="AH4" s="43"/>
    </row>
    <row r="5" spans="1:34" s="5" customFormat="1" ht="80.099999999999994" customHeight="1" x14ac:dyDescent="0.2">
      <c r="A5" s="20"/>
      <c r="B5" s="656"/>
      <c r="C5" s="37" t="s">
        <v>104</v>
      </c>
      <c r="D5" s="191"/>
      <c r="E5" s="177"/>
      <c r="F5" s="177"/>
      <c r="G5" s="176">
        <v>3</v>
      </c>
      <c r="H5" s="178"/>
      <c r="I5" s="13"/>
      <c r="K5" s="656"/>
      <c r="L5" s="37" t="s">
        <v>104</v>
      </c>
      <c r="M5" s="192">
        <v>1</v>
      </c>
      <c r="N5" s="177">
        <v>1</v>
      </c>
      <c r="O5" s="177"/>
      <c r="P5" s="176"/>
      <c r="Q5" s="178"/>
      <c r="R5" s="13"/>
      <c r="V5" s="18"/>
      <c r="AB5" s="656"/>
      <c r="AC5" s="37"/>
      <c r="AD5" s="47"/>
      <c r="AE5" s="42"/>
      <c r="AF5" s="42"/>
      <c r="AG5" s="43"/>
      <c r="AH5" s="43"/>
    </row>
    <row r="6" spans="1:34" s="5" customFormat="1" ht="80.099999999999994" customHeight="1" x14ac:dyDescent="0.2">
      <c r="A6" s="20"/>
      <c r="B6" s="656"/>
      <c r="C6" s="37" t="s">
        <v>103</v>
      </c>
      <c r="D6" s="183">
        <v>3</v>
      </c>
      <c r="E6" s="184">
        <v>3</v>
      </c>
      <c r="F6" s="180">
        <v>6</v>
      </c>
      <c r="G6" s="176"/>
      <c r="H6" s="176">
        <v>1</v>
      </c>
      <c r="I6" s="13"/>
      <c r="K6" s="656"/>
      <c r="L6" s="37" t="s">
        <v>103</v>
      </c>
      <c r="M6" s="183">
        <v>1</v>
      </c>
      <c r="N6" s="184">
        <v>2</v>
      </c>
      <c r="O6" s="180"/>
      <c r="P6" s="176"/>
      <c r="Q6" s="176"/>
      <c r="R6" s="13"/>
      <c r="V6" s="18"/>
      <c r="AB6" s="656"/>
      <c r="AC6" s="37"/>
      <c r="AD6" s="48"/>
      <c r="AE6" s="44"/>
      <c r="AF6" s="42"/>
      <c r="AG6" s="43"/>
      <c r="AH6" s="43"/>
    </row>
    <row r="7" spans="1:34" s="5" customFormat="1" ht="80.099999999999994" customHeight="1" x14ac:dyDescent="0.2">
      <c r="A7" s="20"/>
      <c r="B7" s="656"/>
      <c r="C7" s="37" t="s">
        <v>102</v>
      </c>
      <c r="D7" s="179"/>
      <c r="E7" s="185">
        <v>5</v>
      </c>
      <c r="F7" s="184">
        <v>8</v>
      </c>
      <c r="G7" s="180">
        <v>4</v>
      </c>
      <c r="H7" s="178"/>
      <c r="I7" s="13"/>
      <c r="K7" s="656"/>
      <c r="L7" s="37" t="s">
        <v>102</v>
      </c>
      <c r="M7" s="183">
        <v>3</v>
      </c>
      <c r="N7" s="185">
        <v>6</v>
      </c>
      <c r="O7" s="184"/>
      <c r="P7" s="180"/>
      <c r="Q7" s="178"/>
      <c r="R7" s="13"/>
      <c r="V7" s="18"/>
      <c r="AB7" s="656"/>
      <c r="AC7" s="37"/>
      <c r="AD7" s="48"/>
      <c r="AE7" s="45"/>
      <c r="AF7" s="44"/>
      <c r="AG7" s="42"/>
      <c r="AH7" s="43"/>
    </row>
    <row r="8" spans="1:34" s="5" customFormat="1" ht="80.099999999999994" customHeight="1" thickBot="1" x14ac:dyDescent="0.25">
      <c r="A8" s="20"/>
      <c r="B8" s="656"/>
      <c r="C8" s="37" t="s">
        <v>101</v>
      </c>
      <c r="D8" s="188">
        <v>15</v>
      </c>
      <c r="E8" s="187">
        <v>11</v>
      </c>
      <c r="F8" s="186">
        <v>8</v>
      </c>
      <c r="G8" s="181">
        <v>7</v>
      </c>
      <c r="H8" s="181">
        <v>2</v>
      </c>
      <c r="I8" s="13"/>
      <c r="K8" s="656"/>
      <c r="L8" s="37" t="s">
        <v>101</v>
      </c>
      <c r="M8" s="188">
        <v>36</v>
      </c>
      <c r="N8" s="187">
        <v>13</v>
      </c>
      <c r="O8" s="186">
        <v>12</v>
      </c>
      <c r="P8" s="181">
        <v>4</v>
      </c>
      <c r="Q8" s="181">
        <v>2</v>
      </c>
      <c r="R8" s="13"/>
      <c r="V8" s="18"/>
      <c r="AB8" s="656"/>
      <c r="AC8" s="37"/>
      <c r="AD8" s="49"/>
      <c r="AE8" s="50"/>
      <c r="AF8" s="51"/>
      <c r="AG8" s="52"/>
      <c r="AH8" s="52"/>
    </row>
    <row r="9" spans="1:34" s="38" customFormat="1" ht="36" customHeight="1" thickTop="1" x14ac:dyDescent="0.25">
      <c r="A9" s="39"/>
      <c r="D9" s="38" t="s">
        <v>106</v>
      </c>
      <c r="E9" s="38" t="s">
        <v>107</v>
      </c>
      <c r="F9" s="38" t="s">
        <v>108</v>
      </c>
      <c r="G9" s="38" t="s">
        <v>109</v>
      </c>
      <c r="H9" s="38" t="s">
        <v>110</v>
      </c>
      <c r="M9" s="38" t="s">
        <v>106</v>
      </c>
      <c r="N9" s="38" t="s">
        <v>107</v>
      </c>
      <c r="O9" s="38" t="s">
        <v>108</v>
      </c>
      <c r="P9" s="38" t="s">
        <v>109</v>
      </c>
      <c r="Q9" s="38" t="s">
        <v>110</v>
      </c>
    </row>
    <row r="10" spans="1:34" s="5" customFormat="1" ht="24" customHeight="1" x14ac:dyDescent="0.2">
      <c r="A10" s="20"/>
      <c r="C10" s="37"/>
      <c r="D10" s="657" t="s">
        <v>112</v>
      </c>
      <c r="E10" s="657"/>
      <c r="F10" s="657"/>
      <c r="G10" s="657"/>
      <c r="H10" s="657"/>
      <c r="I10" s="13"/>
      <c r="L10" s="37"/>
      <c r="M10" s="657" t="s">
        <v>112</v>
      </c>
      <c r="N10" s="657"/>
      <c r="O10" s="657"/>
      <c r="P10" s="657"/>
      <c r="Q10" s="657"/>
      <c r="R10" s="13"/>
      <c r="V10" s="18"/>
      <c r="AC10" s="37"/>
      <c r="AD10" s="657"/>
      <c r="AE10" s="657"/>
      <c r="AF10" s="657"/>
      <c r="AG10" s="657"/>
      <c r="AH10" s="657"/>
    </row>
    <row r="14" spans="1:34" s="160" customFormat="1" ht="15.75" x14ac:dyDescent="0.25">
      <c r="B14" s="161"/>
      <c r="C14" s="162"/>
      <c r="D14" s="661"/>
      <c r="E14" s="661"/>
      <c r="F14" s="661"/>
      <c r="G14" s="661"/>
      <c r="H14" s="661"/>
      <c r="K14" s="161"/>
      <c r="L14" s="162"/>
      <c r="M14" s="661"/>
      <c r="N14" s="661"/>
      <c r="O14" s="661"/>
      <c r="P14" s="661"/>
      <c r="Q14" s="661"/>
    </row>
    <row r="15" spans="1:34" ht="23.25" customHeight="1" x14ac:dyDescent="0.25">
      <c r="D15" s="239" t="s">
        <v>220</v>
      </c>
      <c r="E15" s="658" t="s">
        <v>338</v>
      </c>
      <c r="F15" s="658"/>
      <c r="G15" s="658"/>
      <c r="H15" s="658"/>
    </row>
    <row r="16" spans="1:34" ht="25.5" customHeight="1" x14ac:dyDescent="0.25">
      <c r="D16" s="239" t="s">
        <v>221</v>
      </c>
      <c r="E16" s="658" t="s">
        <v>492</v>
      </c>
      <c r="F16" s="658"/>
      <c r="G16" s="658"/>
      <c r="H16" s="658"/>
    </row>
    <row r="17" spans="4:17" ht="25.5" customHeight="1" x14ac:dyDescent="0.25">
      <c r="D17" s="239"/>
      <c r="E17" s="241"/>
      <c r="F17" s="240"/>
      <c r="G17" s="240"/>
      <c r="H17" s="240"/>
      <c r="I17" s="240"/>
      <c r="J17" s="240"/>
      <c r="K17" s="240"/>
      <c r="L17" s="240"/>
      <c r="M17" s="240"/>
      <c r="N17" s="240"/>
      <c r="O17" s="240"/>
      <c r="P17" s="240"/>
      <c r="Q17" s="240"/>
    </row>
  </sheetData>
  <customSheetViews>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14">
    <mergeCell ref="E16:H16"/>
    <mergeCell ref="E15:H15"/>
    <mergeCell ref="E1:Q1"/>
    <mergeCell ref="K3:Q3"/>
    <mergeCell ref="D14:H14"/>
    <mergeCell ref="M14:Q14"/>
    <mergeCell ref="B3:H3"/>
    <mergeCell ref="B4:B8"/>
    <mergeCell ref="D10:H10"/>
    <mergeCell ref="AB3:AH3"/>
    <mergeCell ref="AB4:AB8"/>
    <mergeCell ref="AD10:AH10"/>
    <mergeCell ref="K4:K8"/>
    <mergeCell ref="M10:Q10"/>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1.299212598425197" right="0.70866141732283472" top="0.74803149606299213" bottom="0.74803149606299213" header="0.31496062992125984" footer="0.31496062992125984"/>
  <pageSetup scale="57" orientation="landscape"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15"/>
  <sheetViews>
    <sheetView showGridLines="0" topLeftCell="AF25" zoomScaleNormal="100" workbookViewId="0">
      <selection activeCell="A17" sqref="A17"/>
    </sheetView>
  </sheetViews>
  <sheetFormatPr baseColWidth="10" defaultColWidth="11.42578125" defaultRowHeight="24" customHeight="1" x14ac:dyDescent="0.25"/>
  <cols>
    <col min="1" max="1" width="20.7109375" style="55" customWidth="1"/>
    <col min="2" max="2" width="4.7109375" style="55" customWidth="1"/>
    <col min="3" max="4" width="20.7109375" style="55" customWidth="1"/>
    <col min="5" max="5" width="4.7109375" style="55" customWidth="1"/>
    <col min="6" max="6" width="5.7109375" style="55" customWidth="1"/>
    <col min="7" max="7" width="12.7109375" style="55" customWidth="1"/>
    <col min="8" max="8" width="40.7109375" style="55" customWidth="1"/>
    <col min="9" max="9" width="4.7109375" style="55" customWidth="1"/>
    <col min="10" max="10" width="5.7109375" style="55" customWidth="1"/>
    <col min="11" max="11" width="12.7109375" style="56" customWidth="1"/>
    <col min="12" max="16" width="16.7109375" style="57" customWidth="1"/>
    <col min="17" max="17" width="10.7109375" style="55" customWidth="1"/>
    <col min="18" max="18" width="11.42578125" style="55"/>
    <col min="19" max="19" width="6.7109375" style="57" customWidth="1"/>
    <col min="20" max="20" width="16.7109375" style="57" customWidth="1"/>
    <col min="21" max="21" width="6.7109375" style="57" customWidth="1"/>
    <col min="22" max="22" width="16.7109375" style="57" customWidth="1"/>
    <col min="23" max="23" width="6.7109375" style="57" customWidth="1"/>
    <col min="24" max="24" width="16.7109375" style="57" customWidth="1"/>
    <col min="25" max="25" width="6.7109375" style="57" customWidth="1"/>
    <col min="26" max="26" width="16.7109375" style="55" customWidth="1"/>
    <col min="27" max="28" width="11.42578125" style="55"/>
    <col min="29" max="29" width="16.7109375" style="55" customWidth="1"/>
    <col min="30" max="30" width="20.42578125" style="55" customWidth="1"/>
    <col min="31" max="31" width="5.7109375" style="55" customWidth="1"/>
    <col min="32" max="32" width="20.7109375" style="55" customWidth="1"/>
    <col min="33" max="33" width="36.7109375" style="55" customWidth="1"/>
    <col min="34" max="16384" width="11.42578125" style="55"/>
  </cols>
  <sheetData>
    <row r="1" spans="1:33" ht="24" customHeight="1" thickBot="1" x14ac:dyDescent="0.3">
      <c r="AC1" s="113" t="s">
        <v>131</v>
      </c>
    </row>
    <row r="2" spans="1:33" ht="24" customHeight="1" thickBot="1" x14ac:dyDescent="0.3">
      <c r="J2" s="683" t="s">
        <v>51</v>
      </c>
      <c r="K2" s="684"/>
      <c r="L2" s="681" t="s">
        <v>7</v>
      </c>
      <c r="M2" s="681"/>
      <c r="N2" s="681"/>
      <c r="O2" s="681"/>
      <c r="P2" s="682"/>
      <c r="S2" s="678" t="s">
        <v>127</v>
      </c>
      <c r="T2" s="678"/>
      <c r="U2" s="678"/>
      <c r="V2" s="678"/>
      <c r="W2" s="678"/>
      <c r="X2" s="678"/>
      <c r="Y2" s="678"/>
      <c r="Z2" s="678"/>
      <c r="AC2" s="114" t="s">
        <v>132</v>
      </c>
    </row>
    <row r="3" spans="1:33" ht="24" customHeight="1" x14ac:dyDescent="0.25">
      <c r="A3" s="87" t="s">
        <v>30</v>
      </c>
      <c r="B3" s="58"/>
      <c r="C3" s="662" t="s">
        <v>34</v>
      </c>
      <c r="D3" s="663"/>
      <c r="F3" s="664" t="s">
        <v>36</v>
      </c>
      <c r="G3" s="665"/>
      <c r="H3" s="666"/>
      <c r="J3" s="685"/>
      <c r="K3" s="686"/>
      <c r="L3" s="75" t="s">
        <v>47</v>
      </c>
      <c r="M3" s="75" t="s">
        <v>48</v>
      </c>
      <c r="N3" s="75" t="s">
        <v>14</v>
      </c>
      <c r="O3" s="75" t="s">
        <v>49</v>
      </c>
      <c r="P3" s="76" t="s">
        <v>50</v>
      </c>
      <c r="S3" s="678" t="s">
        <v>125</v>
      </c>
      <c r="T3" s="678"/>
      <c r="U3" s="678"/>
      <c r="V3" s="687"/>
      <c r="W3" s="669" t="s">
        <v>126</v>
      </c>
      <c r="X3" s="670"/>
      <c r="Y3" s="670"/>
      <c r="Z3" s="670"/>
      <c r="AC3" s="115" t="s">
        <v>23</v>
      </c>
      <c r="AF3" s="674" t="s">
        <v>56</v>
      </c>
      <c r="AG3" s="675"/>
    </row>
    <row r="4" spans="1:33" ht="24" customHeight="1" thickBot="1" x14ac:dyDescent="0.3">
      <c r="A4" s="88" t="s">
        <v>31</v>
      </c>
      <c r="C4" s="82" t="s">
        <v>226</v>
      </c>
      <c r="D4" s="83" t="s">
        <v>6</v>
      </c>
      <c r="F4" s="90">
        <v>1</v>
      </c>
      <c r="G4" s="91" t="s">
        <v>37</v>
      </c>
      <c r="H4" s="92" t="s">
        <v>42</v>
      </c>
      <c r="J4" s="679" t="s">
        <v>6</v>
      </c>
      <c r="K4" s="75" t="s">
        <v>120</v>
      </c>
      <c r="L4" s="77" t="s">
        <v>52</v>
      </c>
      <c r="M4" s="77" t="s">
        <v>52</v>
      </c>
      <c r="N4" s="77" t="s">
        <v>53</v>
      </c>
      <c r="O4" s="77" t="s">
        <v>54</v>
      </c>
      <c r="P4" s="78" t="s">
        <v>54</v>
      </c>
      <c r="S4" s="668" t="s">
        <v>114</v>
      </c>
      <c r="T4" s="668"/>
      <c r="U4" s="668" t="s">
        <v>115</v>
      </c>
      <c r="V4" s="688"/>
      <c r="W4" s="667" t="s">
        <v>114</v>
      </c>
      <c r="X4" s="668"/>
      <c r="Y4" s="668" t="s">
        <v>115</v>
      </c>
      <c r="Z4" s="668"/>
      <c r="AC4" s="115" t="s">
        <v>18</v>
      </c>
      <c r="AF4" s="676"/>
      <c r="AG4" s="677"/>
    </row>
    <row r="5" spans="1:33" ht="24" customHeight="1" thickTop="1" x14ac:dyDescent="0.25">
      <c r="A5" s="88" t="s">
        <v>32</v>
      </c>
      <c r="C5" s="82" t="s">
        <v>227</v>
      </c>
      <c r="D5" s="84" t="s">
        <v>7</v>
      </c>
      <c r="F5" s="90">
        <v>2</v>
      </c>
      <c r="G5" s="93" t="s">
        <v>38</v>
      </c>
      <c r="H5" s="92" t="s">
        <v>43</v>
      </c>
      <c r="J5" s="679"/>
      <c r="K5" s="75" t="s">
        <v>121</v>
      </c>
      <c r="L5" s="77" t="s">
        <v>52</v>
      </c>
      <c r="M5" s="77" t="s">
        <v>52</v>
      </c>
      <c r="N5" s="77" t="s">
        <v>53</v>
      </c>
      <c r="O5" s="77" t="s">
        <v>54</v>
      </c>
      <c r="P5" s="78" t="s">
        <v>55</v>
      </c>
      <c r="S5" s="72">
        <v>1</v>
      </c>
      <c r="T5" s="72" t="s">
        <v>118</v>
      </c>
      <c r="U5" s="72">
        <v>1</v>
      </c>
      <c r="V5" s="73" t="s">
        <v>120</v>
      </c>
      <c r="W5" s="74">
        <v>5</v>
      </c>
      <c r="X5" s="72" t="s">
        <v>119</v>
      </c>
      <c r="Y5" s="72">
        <v>1</v>
      </c>
      <c r="Z5" s="72" t="s">
        <v>47</v>
      </c>
      <c r="AC5" s="115" t="s">
        <v>75</v>
      </c>
      <c r="AE5" s="671" t="s">
        <v>144</v>
      </c>
      <c r="AF5" s="102" t="s">
        <v>140</v>
      </c>
      <c r="AG5" s="97" t="s">
        <v>57</v>
      </c>
    </row>
    <row r="6" spans="1:33" ht="24" customHeight="1" thickBot="1" x14ac:dyDescent="0.3">
      <c r="A6" s="88" t="s">
        <v>15</v>
      </c>
      <c r="C6" s="85" t="s">
        <v>228</v>
      </c>
      <c r="D6" s="86"/>
      <c r="F6" s="90">
        <v>3</v>
      </c>
      <c r="G6" s="93" t="s">
        <v>39</v>
      </c>
      <c r="H6" s="92" t="s">
        <v>44</v>
      </c>
      <c r="J6" s="679"/>
      <c r="K6" s="75" t="s">
        <v>151</v>
      </c>
      <c r="L6" s="77" t="s">
        <v>52</v>
      </c>
      <c r="M6" s="77" t="s">
        <v>53</v>
      </c>
      <c r="N6" s="77" t="s">
        <v>54</v>
      </c>
      <c r="O6" s="77" t="s">
        <v>55</v>
      </c>
      <c r="P6" s="78" t="s">
        <v>55</v>
      </c>
      <c r="S6" s="72"/>
      <c r="T6" s="72"/>
      <c r="U6" s="72">
        <v>2</v>
      </c>
      <c r="V6" s="73" t="s">
        <v>121</v>
      </c>
      <c r="W6" s="74"/>
      <c r="X6" s="72"/>
      <c r="Y6" s="72">
        <v>2</v>
      </c>
      <c r="Z6" s="72" t="s">
        <v>48</v>
      </c>
      <c r="AC6" s="115" t="s">
        <v>19</v>
      </c>
      <c r="AE6" s="672"/>
      <c r="AF6" s="102" t="s">
        <v>141</v>
      </c>
      <c r="AG6" s="97" t="s">
        <v>134</v>
      </c>
    </row>
    <row r="7" spans="1:33" ht="24" customHeight="1" x14ac:dyDescent="0.25">
      <c r="A7" s="88" t="s">
        <v>27</v>
      </c>
      <c r="F7" s="90">
        <v>4</v>
      </c>
      <c r="G7" s="93" t="s">
        <v>40</v>
      </c>
      <c r="H7" s="92" t="s">
        <v>45</v>
      </c>
      <c r="J7" s="679"/>
      <c r="K7" s="75" t="s">
        <v>123</v>
      </c>
      <c r="L7" s="77" t="s">
        <v>53</v>
      </c>
      <c r="M7" s="77" t="s">
        <v>54</v>
      </c>
      <c r="N7" s="77" t="s">
        <v>54</v>
      </c>
      <c r="O7" s="77" t="s">
        <v>55</v>
      </c>
      <c r="P7" s="78" t="s">
        <v>55</v>
      </c>
      <c r="S7" s="72">
        <v>2</v>
      </c>
      <c r="T7" s="72" t="s">
        <v>117</v>
      </c>
      <c r="U7" s="72">
        <v>3</v>
      </c>
      <c r="V7" s="73" t="s">
        <v>122</v>
      </c>
      <c r="W7" s="74">
        <v>10</v>
      </c>
      <c r="X7" s="72" t="s">
        <v>14</v>
      </c>
      <c r="Y7" s="72">
        <v>3</v>
      </c>
      <c r="Z7" s="72" t="s">
        <v>14</v>
      </c>
      <c r="AC7" s="115" t="s">
        <v>68</v>
      </c>
      <c r="AE7" s="672"/>
      <c r="AF7" s="102" t="s">
        <v>142</v>
      </c>
      <c r="AG7" s="97" t="s">
        <v>135</v>
      </c>
    </row>
    <row r="8" spans="1:33" ht="24" customHeight="1" thickBot="1" x14ac:dyDescent="0.3">
      <c r="A8" s="88" t="s">
        <v>33</v>
      </c>
      <c r="F8" s="94">
        <v>5</v>
      </c>
      <c r="G8" s="95" t="s">
        <v>41</v>
      </c>
      <c r="H8" s="96" t="s">
        <v>46</v>
      </c>
      <c r="J8" s="680"/>
      <c r="K8" s="79" t="s">
        <v>152</v>
      </c>
      <c r="L8" s="80" t="s">
        <v>54</v>
      </c>
      <c r="M8" s="80" t="s">
        <v>54</v>
      </c>
      <c r="N8" s="80" t="s">
        <v>55</v>
      </c>
      <c r="O8" s="80" t="s">
        <v>55</v>
      </c>
      <c r="P8" s="81" t="s">
        <v>55</v>
      </c>
      <c r="S8" s="72"/>
      <c r="T8" s="72"/>
      <c r="U8" s="72">
        <v>4</v>
      </c>
      <c r="V8" s="73" t="s">
        <v>123</v>
      </c>
      <c r="W8" s="74"/>
      <c r="X8" s="72"/>
      <c r="Y8" s="72">
        <v>4</v>
      </c>
      <c r="Z8" s="72" t="s">
        <v>49</v>
      </c>
      <c r="AC8" s="115" t="s">
        <v>20</v>
      </c>
      <c r="AE8" s="673"/>
      <c r="AF8" s="103" t="s">
        <v>143</v>
      </c>
      <c r="AG8" s="98" t="s">
        <v>135</v>
      </c>
    </row>
    <row r="9" spans="1:33" ht="24" customHeight="1" thickBot="1" x14ac:dyDescent="0.3">
      <c r="A9" s="89" t="s">
        <v>76</v>
      </c>
      <c r="S9" s="72">
        <v>3</v>
      </c>
      <c r="T9" s="72" t="s">
        <v>116</v>
      </c>
      <c r="U9" s="72">
        <v>5</v>
      </c>
      <c r="V9" s="73" t="s">
        <v>124</v>
      </c>
      <c r="W9" s="74">
        <v>20</v>
      </c>
      <c r="X9" s="72" t="s">
        <v>50</v>
      </c>
      <c r="Y9" s="72">
        <v>5</v>
      </c>
      <c r="Z9" s="72" t="s">
        <v>50</v>
      </c>
      <c r="AC9" s="116" t="s">
        <v>133</v>
      </c>
    </row>
    <row r="10" spans="1:33" ht="36" customHeight="1" thickTop="1" x14ac:dyDescent="0.25">
      <c r="AE10" s="671" t="s">
        <v>145</v>
      </c>
      <c r="AF10" s="104" t="s">
        <v>83</v>
      </c>
      <c r="AG10" s="99" t="s">
        <v>136</v>
      </c>
    </row>
    <row r="11" spans="1:33" ht="66" customHeight="1" x14ac:dyDescent="0.25">
      <c r="AC11" s="209"/>
      <c r="AE11" s="672"/>
      <c r="AF11" s="105" t="s">
        <v>79</v>
      </c>
      <c r="AG11" s="100" t="s">
        <v>137</v>
      </c>
    </row>
    <row r="12" spans="1:33" ht="51" customHeight="1" x14ac:dyDescent="0.25">
      <c r="AC12" s="210"/>
      <c r="AE12" s="672"/>
      <c r="AF12" s="105" t="s">
        <v>84</v>
      </c>
      <c r="AG12" s="100" t="s">
        <v>138</v>
      </c>
    </row>
    <row r="13" spans="1:33" ht="36.950000000000003" customHeight="1" thickBot="1" x14ac:dyDescent="0.3">
      <c r="AC13" s="210"/>
      <c r="AE13" s="673"/>
      <c r="AF13" s="106" t="s">
        <v>57</v>
      </c>
      <c r="AG13" s="101" t="s">
        <v>139</v>
      </c>
    </row>
    <row r="14" spans="1:33" ht="30" customHeight="1" thickTop="1" x14ac:dyDescent="0.25">
      <c r="AC14" s="8"/>
    </row>
    <row r="15" spans="1:33" ht="24" customHeight="1" x14ac:dyDescent="0.25">
      <c r="AC15" s="210"/>
    </row>
  </sheetData>
  <dataConsolidate/>
  <customSheetViews>
    <customSheetView guid="{B83C9EB8-C964-4489-98C8-19C81BFAE010}" showGridLines="0" topLeftCell="I1">
      <selection activeCell="W11" sqref="W11"/>
      <pageMargins left="0.7" right="0.7" top="0.75" bottom="0.75" header="0.3" footer="0.3"/>
      <pageSetup paperSize="9" orientation="portrait" r:id="rId1"/>
    </customSheetView>
    <customSheetView guid="{42BB51DB-DC3E-4DA5-9499-5574EB19780E}" showGridLines="0" topLeftCell="I1">
      <selection activeCell="W11" sqref="W11"/>
      <pageMargins left="0.7" right="0.7" top="0.75" bottom="0.75" header="0.3" footer="0.3"/>
      <pageSetup paperSize="9" orientation="portrait" r:id="rId2"/>
    </customSheetView>
    <customSheetView guid="{D8BB7E15-0E8F-45FC-AD1A-6D8C295A087C}" showGridLines="0" topLeftCell="I1">
      <selection activeCell="W11" sqref="W11"/>
      <pageMargins left="0.7" right="0.7" top="0.75" bottom="0.75" header="0.3" footer="0.3"/>
      <pageSetup paperSize="9" orientation="portrait" r:id="rId3"/>
    </customSheetView>
    <customSheetView guid="{F7D68F61-F89A-4541-9A78-C25C58CA23E3}" showGridLines="0" topLeftCell="I1">
      <selection activeCell="W11" sqref="W11"/>
      <pageMargins left="0.7" right="0.7" top="0.75" bottom="0.75" header="0.3" footer="0.3"/>
      <pageSetup paperSize="9" orientation="portrait" r:id="rId4"/>
    </customSheetView>
    <customSheetView guid="{4890415D-ABA4-4363-9A7D-9DAD39F08A9F}" showGridLines="0" topLeftCell="I1">
      <selection activeCell="W11" sqref="W11"/>
      <pageMargins left="0.7" right="0.7" top="0.75" bottom="0.75" header="0.3" footer="0.3"/>
      <pageSetup paperSize="9" orientation="portrait" r:id="rId5"/>
    </customSheetView>
    <customSheetView guid="{D504B807-AE7E-4042-848D-21D8E9CBBAC1}" showGridLines="0" topLeftCell="I1">
      <selection activeCell="W11" sqref="W11"/>
      <pageMargins left="0.7" right="0.7" top="0.75" bottom="0.75" header="0.3" footer="0.3"/>
      <pageSetup paperSize="9" orientation="portrait" r:id="rId6"/>
    </customSheetView>
    <customSheetView guid="{C9A812A3-B23E-4057-8694-158B0DEE8D06}" showGridLines="0" topLeftCell="I1">
      <selection activeCell="W11" sqref="W11"/>
      <pageMargins left="0.7" right="0.7" top="0.75" bottom="0.75" header="0.3" footer="0.3"/>
      <pageSetup paperSize="9" orientation="portrait" r:id="rId7"/>
    </customSheetView>
    <customSheetView guid="{B74BB35E-E214-422E-BB39-6D168553F4C5}" showGridLines="0" topLeftCell="I1">
      <selection activeCell="W11" sqref="W11"/>
      <pageMargins left="0.7" right="0.7" top="0.75" bottom="0.75" header="0.3" footer="0.3"/>
      <pageSetup paperSize="9" orientation="portrait" r:id="rId8"/>
    </customSheetView>
    <customSheetView guid="{915A0EBC-A358-405B-93F7-90752DA34B9F}"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C8C25E0F-313C-40E1-BC27-B55128053FAD}" showGridLines="0" topLeftCell="I1">
      <selection activeCell="W11" sqref="W11"/>
      <pageMargins left="0.7" right="0.7" top="0.75" bottom="0.75" header="0.3" footer="0.3"/>
      <pageSetup paperSize="9" orientation="portrait" r:id="rId11"/>
    </customSheetView>
    <customSheetView guid="{D674221F-3F50-45D7-B99E-107AE99970DE}" showGridLines="0" topLeftCell="I1">
      <selection activeCell="W11" sqref="W11"/>
      <pageMargins left="0.7" right="0.7" top="0.75" bottom="0.75" header="0.3" footer="0.3"/>
      <pageSetup paperSize="9" orientation="portrait" r:id="rId12"/>
    </customSheetView>
    <customSheetView guid="{E51A7B7A-B72C-4D0D-BEC9-3100296DDB1B}" showGridLines="0" topLeftCell="I1">
      <selection activeCell="W11" sqref="W11"/>
      <pageMargins left="0.7" right="0.7" top="0.75" bottom="0.75" header="0.3" footer="0.3"/>
      <pageSetup paperSize="9" orientation="portrait" r:id="rId13"/>
    </customSheetView>
    <customSheetView guid="{C9A17BF0-2451-44C4-898F-CFB8403323EA}" showGridLines="0" topLeftCell="I1">
      <selection activeCell="W11" sqref="W11"/>
      <pageMargins left="0.7" right="0.7" top="0.75" bottom="0.75" header="0.3" footer="0.3"/>
      <pageSetup paperSize="9" orientation="portrait" r:id="rId14"/>
    </customSheetView>
    <customSheetView guid="{DC041AD4-35AB-4F1B-9F3D-F08C88A9A16C}" showGridLines="0" topLeftCell="I1">
      <selection activeCell="W11" sqref="W11"/>
      <pageMargins left="0.7" right="0.7" top="0.75" bottom="0.75" header="0.3" footer="0.3"/>
      <pageSetup paperSize="9" orientation="portrait" r:id="rId15"/>
    </customSheetView>
    <customSheetView guid="{CC42E740-ADA2-4B3E-AB77-9BBCCE9EC444}" showGridLines="0" topLeftCell="I1">
      <selection activeCell="W11" sqref="W11"/>
      <pageMargins left="0.7" right="0.7" top="0.75" bottom="0.75" header="0.3" footer="0.3"/>
      <pageSetup paperSize="9" orientation="portrait" r:id="rId16"/>
    </customSheetView>
    <customSheetView guid="{AF3BF2A1-5C19-43AE-A08B-3E418E8AE543}" showGridLines="0" topLeftCell="I1">
      <selection activeCell="W11" sqref="W11"/>
      <pageMargins left="0.7" right="0.7" top="0.75" bottom="0.75" header="0.3" footer="0.3"/>
      <pageSetup paperSize="9" orientation="portrait" r:id="rId17"/>
    </customSheetView>
    <customSheetView guid="{ADD38025-F4B2-44E2-9D06-07A9BF0F3A51}" showGridLines="0" topLeftCell="I1">
      <selection activeCell="W11" sqref="W11"/>
      <pageMargins left="0.7" right="0.7" top="0.75" bottom="0.75" header="0.3" footer="0.3"/>
      <pageSetup paperSize="9" orientation="portrait" r:id="rId18"/>
    </customSheetView>
    <customSheetView guid="{97D65C1E-976A-4956-97FC-0E8188ABCFAA}" showGridLines="0" topLeftCell="I1">
      <selection activeCell="W11" sqref="W11"/>
      <pageMargins left="0.7" right="0.7" top="0.75" bottom="0.75" header="0.3" footer="0.3"/>
      <pageSetup paperSize="9" orientation="portrait" r:id="rId19"/>
    </customSheetView>
  </customSheetViews>
  <mergeCells count="15">
    <mergeCell ref="AE5:AE8"/>
    <mergeCell ref="AE10:AE13"/>
    <mergeCell ref="AF3:AG4"/>
    <mergeCell ref="S2:Z2"/>
    <mergeCell ref="J4:J8"/>
    <mergeCell ref="L2:P2"/>
    <mergeCell ref="J2:K3"/>
    <mergeCell ref="S3:V3"/>
    <mergeCell ref="S4:T4"/>
    <mergeCell ref="U4:V4"/>
    <mergeCell ref="C3:D3"/>
    <mergeCell ref="F3:H3"/>
    <mergeCell ref="W4:X4"/>
    <mergeCell ref="Y4:Z4"/>
    <mergeCell ref="W3:Z3"/>
  </mergeCells>
  <dataValidations count="1">
    <dataValidation type="list" allowBlank="1" showInputMessage="1" showErrorMessage="1" sqref="A3:B9" xr:uid="{00000000-0002-0000-1200-000000000000}">
      <formula1>$A$3:$A$9</formula1>
    </dataValidation>
  </dataValidations>
  <pageMargins left="0.7" right="0.7" top="0.75" bottom="0.75" header="0.3" footer="0.3"/>
  <pageSetup paperSize="9" orientation="landscape"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autoPageBreaks="0"/>
  </sheetPr>
  <dimension ref="A1:Z22"/>
  <sheetViews>
    <sheetView showGridLines="0" topLeftCell="E1" zoomScale="60" zoomScaleNormal="60" workbookViewId="0">
      <selection activeCell="Y18" sqref="Y18"/>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9"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1" style="229" customWidth="1"/>
    <col min="21" max="21" width="19.85546875" style="229" customWidth="1"/>
    <col min="22" max="22" width="31" style="18" customWidth="1"/>
    <col min="23" max="23" width="29.28515625" style="229" hidden="1" customWidth="1"/>
    <col min="24" max="24" width="4.42578125" style="229" hidden="1" customWidth="1"/>
    <col min="25" max="25" width="29.42578125" style="229" customWidth="1"/>
    <col min="26" max="26" width="47.28515625" style="229" customWidth="1"/>
    <col min="27" max="16384" width="11.42578125" style="229"/>
  </cols>
  <sheetData>
    <row r="1" spans="1:26" ht="25.5" customHeight="1" x14ac:dyDescent="0.2">
      <c r="B1" s="555"/>
      <c r="C1" s="555"/>
      <c r="E1" s="556" t="s">
        <v>389</v>
      </c>
      <c r="F1" s="556"/>
      <c r="G1" s="556"/>
      <c r="H1" s="556"/>
      <c r="I1" s="556"/>
      <c r="J1" s="556"/>
      <c r="K1" s="556"/>
      <c r="L1" s="556"/>
      <c r="M1" s="556"/>
      <c r="N1" s="556"/>
      <c r="O1" s="556"/>
      <c r="P1" s="556"/>
      <c r="Q1" s="556"/>
      <c r="R1" s="556"/>
      <c r="S1" s="556"/>
      <c r="T1" s="556"/>
      <c r="U1" s="556"/>
      <c r="V1" s="324" t="s">
        <v>594</v>
      </c>
    </row>
    <row r="2" spans="1:26" ht="25.5" customHeight="1" x14ac:dyDescent="0.3">
      <c r="B2" s="555"/>
      <c r="C2" s="555"/>
      <c r="D2" s="314" t="s">
        <v>334</v>
      </c>
      <c r="E2" s="556"/>
      <c r="F2" s="556"/>
      <c r="G2" s="556"/>
      <c r="H2" s="556"/>
      <c r="I2" s="556"/>
      <c r="J2" s="556"/>
      <c r="K2" s="556"/>
      <c r="L2" s="556"/>
      <c r="M2" s="556"/>
      <c r="N2" s="556"/>
      <c r="O2" s="556"/>
      <c r="P2" s="556"/>
      <c r="Q2" s="556"/>
      <c r="R2" s="556"/>
      <c r="S2" s="556"/>
      <c r="T2" s="556"/>
      <c r="U2" s="556"/>
      <c r="V2" s="324" t="s">
        <v>595</v>
      </c>
    </row>
    <row r="3" spans="1:26" ht="25.5" customHeight="1" x14ac:dyDescent="0.3">
      <c r="B3" s="555"/>
      <c r="C3" s="555"/>
      <c r="D3" s="314" t="s">
        <v>16</v>
      </c>
      <c r="E3" s="556"/>
      <c r="F3" s="556"/>
      <c r="G3" s="556"/>
      <c r="H3" s="556"/>
      <c r="I3" s="556"/>
      <c r="J3" s="556"/>
      <c r="K3" s="556"/>
      <c r="L3" s="556"/>
      <c r="M3" s="556"/>
      <c r="N3" s="556"/>
      <c r="O3" s="556"/>
      <c r="P3" s="556"/>
      <c r="Q3" s="556"/>
      <c r="R3" s="556"/>
      <c r="S3" s="556"/>
      <c r="T3" s="556"/>
      <c r="U3" s="556"/>
      <c r="V3" s="324" t="s">
        <v>596</v>
      </c>
    </row>
    <row r="4" spans="1:26" ht="20.25" x14ac:dyDescent="0.3">
      <c r="D4" s="250"/>
      <c r="E4" s="250"/>
      <c r="F4" s="250"/>
      <c r="G4" s="250"/>
      <c r="H4" s="250"/>
      <c r="I4" s="251"/>
      <c r="J4" s="250"/>
      <c r="K4" s="250"/>
      <c r="L4" s="250"/>
      <c r="M4" s="250"/>
    </row>
    <row r="5" spans="1:26" s="253" customFormat="1" ht="24" customHeight="1" x14ac:dyDescent="0.25">
      <c r="A5" s="252"/>
      <c r="B5" s="553" t="s">
        <v>0</v>
      </c>
      <c r="C5" s="554"/>
      <c r="D5" s="316" t="s">
        <v>335</v>
      </c>
      <c r="E5" s="557" t="s">
        <v>72</v>
      </c>
      <c r="F5" s="557"/>
      <c r="G5" s="557"/>
      <c r="H5" s="557"/>
      <c r="I5" s="557"/>
      <c r="J5" s="557"/>
      <c r="K5" s="557"/>
      <c r="L5" s="557"/>
      <c r="M5" s="557"/>
      <c r="N5" s="557"/>
      <c r="O5" s="558"/>
      <c r="P5" s="553" t="s">
        <v>25</v>
      </c>
      <c r="Q5" s="554"/>
      <c r="R5" s="316">
        <v>2020</v>
      </c>
      <c r="S5" s="317"/>
      <c r="T5" s="318"/>
    </row>
    <row r="6" spans="1:26" s="253" customFormat="1" ht="42" customHeight="1" x14ac:dyDescent="0.25">
      <c r="A6" s="252"/>
      <c r="B6" s="553" t="s">
        <v>1</v>
      </c>
      <c r="C6" s="554"/>
      <c r="D6" s="319"/>
      <c r="E6" s="559" t="s">
        <v>494</v>
      </c>
      <c r="F6" s="559"/>
      <c r="G6" s="559"/>
      <c r="H6" s="559"/>
      <c r="I6" s="559"/>
      <c r="J6" s="559"/>
      <c r="K6" s="559"/>
      <c r="L6" s="559"/>
      <c r="M6" s="559"/>
      <c r="N6" s="559"/>
      <c r="O6" s="559"/>
      <c r="P6" s="559"/>
      <c r="Q6" s="559"/>
      <c r="R6" s="559"/>
      <c r="S6" s="559"/>
      <c r="T6" s="560"/>
    </row>
    <row r="7" spans="1:26" s="253" customFormat="1" ht="15.75" thickBot="1" x14ac:dyDescent="0.3">
      <c r="A7" s="252"/>
      <c r="B7" s="255"/>
      <c r="C7" s="255"/>
      <c r="I7" s="254"/>
      <c r="J7" s="256"/>
      <c r="K7" s="256"/>
      <c r="P7" s="254"/>
      <c r="Q7" s="254"/>
      <c r="V7" s="254"/>
    </row>
    <row r="8" spans="1:26" s="258" customFormat="1" ht="48.75" customHeight="1" thickBot="1" x14ac:dyDescent="0.3">
      <c r="A8" s="257"/>
      <c r="B8" s="546" t="s">
        <v>2</v>
      </c>
      <c r="C8" s="546" t="s">
        <v>3</v>
      </c>
      <c r="D8" s="546"/>
      <c r="E8" s="568" t="s">
        <v>5</v>
      </c>
      <c r="F8" s="549" t="s">
        <v>28</v>
      </c>
      <c r="G8" s="546" t="s">
        <v>213</v>
      </c>
      <c r="H8" s="546"/>
      <c r="I8" s="547" t="s">
        <v>24</v>
      </c>
      <c r="J8" s="542" t="s">
        <v>11</v>
      </c>
      <c r="K8" s="544" t="s">
        <v>35</v>
      </c>
      <c r="L8" s="545"/>
      <c r="M8" s="562" t="s">
        <v>211</v>
      </c>
      <c r="N8" s="546" t="s">
        <v>214</v>
      </c>
      <c r="O8" s="546"/>
      <c r="P8" s="547" t="s">
        <v>24</v>
      </c>
      <c r="Q8" s="549" t="s">
        <v>10</v>
      </c>
      <c r="R8" s="546" t="s">
        <v>8</v>
      </c>
      <c r="S8" s="567" t="s">
        <v>17</v>
      </c>
      <c r="T8" s="546" t="s">
        <v>231</v>
      </c>
      <c r="U8" s="542" t="s">
        <v>215</v>
      </c>
      <c r="V8" s="546" t="s">
        <v>9</v>
      </c>
      <c r="W8" s="566" t="s">
        <v>359</v>
      </c>
      <c r="X8" s="566"/>
      <c r="Y8" s="551" t="s">
        <v>623</v>
      </c>
      <c r="Z8" s="552"/>
    </row>
    <row r="9" spans="1:26" s="258" customFormat="1" ht="76.5" customHeight="1" x14ac:dyDescent="0.25">
      <c r="A9" s="257"/>
      <c r="B9" s="546"/>
      <c r="C9" s="546"/>
      <c r="D9" s="546"/>
      <c r="E9" s="568"/>
      <c r="F9" s="549"/>
      <c r="G9" s="282" t="s">
        <v>6</v>
      </c>
      <c r="H9" s="259" t="s">
        <v>7</v>
      </c>
      <c r="I9" s="548"/>
      <c r="J9" s="543"/>
      <c r="K9" s="260" t="s">
        <v>229</v>
      </c>
      <c r="L9" s="261" t="s">
        <v>230</v>
      </c>
      <c r="M9" s="563"/>
      <c r="N9" s="262" t="s">
        <v>6</v>
      </c>
      <c r="O9" s="263" t="s">
        <v>7</v>
      </c>
      <c r="P9" s="548"/>
      <c r="Q9" s="549"/>
      <c r="R9" s="546"/>
      <c r="S9" s="567"/>
      <c r="T9" s="546"/>
      <c r="U9" s="543"/>
      <c r="V9" s="546"/>
      <c r="W9" s="247" t="s">
        <v>206</v>
      </c>
      <c r="X9" s="247" t="s">
        <v>207</v>
      </c>
      <c r="Y9" s="508" t="s">
        <v>658</v>
      </c>
      <c r="Z9" s="508" t="s">
        <v>659</v>
      </c>
    </row>
    <row r="10" spans="1:26" s="253" customFormat="1" ht="211.5" customHeight="1" x14ac:dyDescent="0.25">
      <c r="A10" s="283">
        <v>1</v>
      </c>
      <c r="B10" s="323" t="s">
        <v>624</v>
      </c>
      <c r="C10" s="336" t="s">
        <v>238</v>
      </c>
      <c r="D10" s="323"/>
      <c r="E10" s="323" t="s">
        <v>356</v>
      </c>
      <c r="F10" s="267" t="s">
        <v>31</v>
      </c>
      <c r="G10" s="265">
        <v>3</v>
      </c>
      <c r="H10" s="265">
        <v>3</v>
      </c>
      <c r="I10" s="380" t="str">
        <f>INDEX([1]Listas!$L$4:$P$8,G10,H10)</f>
        <v>ALTA</v>
      </c>
      <c r="J10" s="269" t="s">
        <v>357</v>
      </c>
      <c r="K10" s="284" t="s">
        <v>228</v>
      </c>
      <c r="L10" s="285" t="str">
        <f>IF('[1]Evaluación de Controles'!F4="X","Probabilidad",IF('[1]Evaluación de Controles'!H4="X","Impacto",))</f>
        <v>Probabilidad</v>
      </c>
      <c r="M10" s="491">
        <f>+'[1]Evaluación de Controles'!X4</f>
        <v>85</v>
      </c>
      <c r="N10" s="265">
        <f>IF('[1]Evaluación de Controles'!F4="X",IF(M10&gt;75,IF(G10&gt;2,G10-2,IF(G10&gt;1,G10-1,G10)),IF(M10&gt;50,IF(G10&gt;1,G10-1,G10),G10)),G10)</f>
        <v>1</v>
      </c>
      <c r="O10" s="265">
        <v>3</v>
      </c>
      <c r="P10" s="380" t="str">
        <f>INDEX([1]Listas!$L$4:$P$8,N10,O10)</f>
        <v>MODERADA</v>
      </c>
      <c r="Q10" s="286" t="s">
        <v>79</v>
      </c>
      <c r="R10" s="265" t="s">
        <v>358</v>
      </c>
      <c r="S10" s="267" t="s">
        <v>264</v>
      </c>
      <c r="T10" s="265" t="s">
        <v>73</v>
      </c>
      <c r="U10" s="265" t="s">
        <v>625</v>
      </c>
      <c r="V10" s="265" t="s">
        <v>495</v>
      </c>
      <c r="W10" s="287"/>
      <c r="X10" s="288"/>
      <c r="Y10" s="323" t="s">
        <v>748</v>
      </c>
      <c r="Z10" s="529" t="s">
        <v>747</v>
      </c>
    </row>
    <row r="11" spans="1:26" s="253" customFormat="1" ht="282" customHeight="1" x14ac:dyDescent="0.25">
      <c r="A11" s="283">
        <v>2</v>
      </c>
      <c r="B11" s="323" t="s">
        <v>626</v>
      </c>
      <c r="C11" s="336" t="s">
        <v>239</v>
      </c>
      <c r="D11" s="323"/>
      <c r="E11" s="505" t="s">
        <v>240</v>
      </c>
      <c r="F11" s="267" t="s">
        <v>32</v>
      </c>
      <c r="G11" s="265">
        <v>3</v>
      </c>
      <c r="H11" s="265">
        <v>3</v>
      </c>
      <c r="I11" s="380" t="str">
        <f>INDEX([1]Listas!$L$4:$P$8,G11,H11)</f>
        <v>ALTA</v>
      </c>
      <c r="J11" s="269" t="s">
        <v>627</v>
      </c>
      <c r="K11" s="284" t="s">
        <v>228</v>
      </c>
      <c r="L11" s="285" t="str">
        <f>IF('[1]Evaluación de Controles'!F5="X","Probabilidad",IF('[1]Evaluación de Controles'!H5="X","Impacto",))</f>
        <v>Probabilidad</v>
      </c>
      <c r="M11" s="491">
        <f>'[1]Evaluación de Controles'!X5</f>
        <v>85</v>
      </c>
      <c r="N11" s="265">
        <f>IF('[1]Evaluación de Controles'!F5="X",IF(M11&gt;75,IF(G11&gt;2,G11-2,IF(G11&gt;1,G11-1,G11)),IF(M11&gt;50,IF(G11&gt;1,G11-1,G11),G11)),G11)</f>
        <v>1</v>
      </c>
      <c r="O11" s="265">
        <f>IF('[1]Evaluación de Controles'!H5="X",IF(M11&gt;75,IF(H11&gt;2,H11-2,IF(H11&gt;1,H11-1,H11)),IF(M11&gt;50,IF(H11&gt;1,H11-1,H11),H11)),H11)</f>
        <v>1</v>
      </c>
      <c r="P11" s="380" t="str">
        <f>INDEX([1]Listas!$L$4:$P$8,N11,O11)</f>
        <v>BAJA</v>
      </c>
      <c r="Q11" s="286" t="s">
        <v>79</v>
      </c>
      <c r="R11" s="265" t="s">
        <v>628</v>
      </c>
      <c r="S11" s="267" t="s">
        <v>19</v>
      </c>
      <c r="T11" s="265" t="s">
        <v>73</v>
      </c>
      <c r="U11" s="265" t="s">
        <v>360</v>
      </c>
      <c r="V11" s="265" t="s">
        <v>241</v>
      </c>
      <c r="W11" s="564"/>
      <c r="X11" s="565"/>
      <c r="Y11" s="323" t="s">
        <v>660</v>
      </c>
      <c r="Z11" s="323" t="s">
        <v>746</v>
      </c>
    </row>
    <row r="12" spans="1:26" s="253" customFormat="1" ht="220.5" customHeight="1" x14ac:dyDescent="0.25">
      <c r="A12" s="283">
        <v>3</v>
      </c>
      <c r="B12" s="323" t="s">
        <v>629</v>
      </c>
      <c r="C12" s="336" t="s">
        <v>630</v>
      </c>
      <c r="D12" s="323"/>
      <c r="E12" s="323" t="s">
        <v>631</v>
      </c>
      <c r="F12" s="267" t="s">
        <v>31</v>
      </c>
      <c r="G12" s="265">
        <v>3</v>
      </c>
      <c r="H12" s="265">
        <v>4</v>
      </c>
      <c r="I12" s="380" t="str">
        <f>INDEX([1]Listas!$L$4:$P$8,G12,H12)</f>
        <v>EXTREMA</v>
      </c>
      <c r="J12" s="493" t="s">
        <v>632</v>
      </c>
      <c r="K12" s="284" t="s">
        <v>227</v>
      </c>
      <c r="L12" s="285" t="str">
        <f>IF('[1]Evaluación de Controles'!F6="X","Probabilidad",IF('[1]Evaluación de Controles'!H6="X","Impacto",))</f>
        <v>Probabilidad</v>
      </c>
      <c r="M12" s="491">
        <f>'[1]Evaluación de Controles'!X6</f>
        <v>85</v>
      </c>
      <c r="N12" s="265">
        <v>2</v>
      </c>
      <c r="O12" s="265">
        <v>3</v>
      </c>
      <c r="P12" s="380" t="str">
        <f>INDEX([1]Listas!$L$4:$P$8,N12,O12)</f>
        <v>MODERADA</v>
      </c>
      <c r="Q12" s="286" t="s">
        <v>237</v>
      </c>
      <c r="R12" s="323" t="s">
        <v>633</v>
      </c>
      <c r="S12" s="414" t="s">
        <v>19</v>
      </c>
      <c r="T12" s="323" t="s">
        <v>73</v>
      </c>
      <c r="U12" s="323" t="s">
        <v>634</v>
      </c>
      <c r="V12" s="323" t="s">
        <v>635</v>
      </c>
      <c r="W12" s="564"/>
      <c r="X12" s="565"/>
      <c r="Y12" s="506">
        <f>27.5/28</f>
        <v>0.9821428571428571</v>
      </c>
      <c r="Z12" s="506">
        <f>27.5/28</f>
        <v>0.9821428571428571</v>
      </c>
    </row>
    <row r="13" spans="1:26" s="253" customFormat="1" ht="148.5" customHeight="1" x14ac:dyDescent="0.25">
      <c r="A13" s="283">
        <v>4</v>
      </c>
      <c r="B13" s="265" t="s">
        <v>242</v>
      </c>
      <c r="C13" s="336" t="s">
        <v>496</v>
      </c>
      <c r="D13" s="265"/>
      <c r="E13" s="265" t="s">
        <v>361</v>
      </c>
      <c r="F13" s="267" t="s">
        <v>27</v>
      </c>
      <c r="G13" s="265">
        <v>4</v>
      </c>
      <c r="H13" s="265">
        <v>4</v>
      </c>
      <c r="I13" s="380" t="str">
        <f>INDEX([1]Listas!$L$4:$P$8,G13,H13)</f>
        <v>EXTREMA</v>
      </c>
      <c r="J13" s="269" t="s">
        <v>363</v>
      </c>
      <c r="K13" s="284" t="s">
        <v>228</v>
      </c>
      <c r="L13" s="285" t="str">
        <f>IF('[1]Evaluación de Controles'!F7="X","Probabilidad",IF('[1]Evaluación de Controles'!H7="X","Impacto",))</f>
        <v>Probabilidad</v>
      </c>
      <c r="M13" s="491">
        <f>'[1]Evaluación de Controles'!X7</f>
        <v>85</v>
      </c>
      <c r="N13" s="265">
        <f>IF('[1]Evaluación de Controles'!F7="X",IF(M13&gt;75,IF(G13&gt;2,G13-2,IF(G13&gt;1,G13-1,G13)),IF(M13&gt;50,IF(G13&gt;1,G13-1,G13),G13)),G13)</f>
        <v>2</v>
      </c>
      <c r="O13" s="265">
        <f>IF('[1]Evaluación de Controles'!H7="X",IF(M13&gt;75,IF(H13&gt;2,H13-2,IF(H13&gt;1,H13-1,H13)),IF(M13&gt;50,IF(H13&gt;1,H13-1,H13),H13)),H13)</f>
        <v>4</v>
      </c>
      <c r="P13" s="380" t="str">
        <f>INDEX([1]Listas!$L$4:$P$8,N13,O13)</f>
        <v>ALTA</v>
      </c>
      <c r="Q13" s="286" t="s">
        <v>79</v>
      </c>
      <c r="R13" s="265" t="s">
        <v>636</v>
      </c>
      <c r="S13" s="267" t="s">
        <v>232</v>
      </c>
      <c r="T13" s="265" t="s">
        <v>637</v>
      </c>
      <c r="U13" s="265" t="s">
        <v>362</v>
      </c>
      <c r="V13" s="265" t="s">
        <v>243</v>
      </c>
      <c r="W13" s="564"/>
      <c r="X13" s="565"/>
      <c r="Y13" s="413">
        <f>11/11</f>
        <v>1</v>
      </c>
      <c r="Z13" s="381">
        <f>17/17</f>
        <v>1</v>
      </c>
    </row>
    <row r="14" spans="1:26" ht="31.5" customHeight="1" x14ac:dyDescent="0.2">
      <c r="D14" s="9"/>
      <c r="I14" s="229"/>
      <c r="J14" s="229"/>
      <c r="K14" s="229"/>
      <c r="P14" s="229"/>
      <c r="Q14" s="229"/>
      <c r="V14" s="229"/>
      <c r="Y14" s="413">
        <f>AVERAGE(Y10:Y13)</f>
        <v>0.9910714285714286</v>
      </c>
      <c r="Z14" s="413">
        <f>AVERAGE(Z12:Z13)</f>
        <v>0.9910714285714286</v>
      </c>
    </row>
    <row r="15" spans="1:26" x14ac:dyDescent="0.2">
      <c r="D15" s="9"/>
      <c r="G15" s="541" t="s">
        <v>97</v>
      </c>
      <c r="H15" s="541"/>
      <c r="I15" s="36">
        <f>COUNTIF(I10:I13,"BAJA")</f>
        <v>0</v>
      </c>
      <c r="J15" s="229"/>
      <c r="K15" s="229"/>
      <c r="N15" s="541" t="s">
        <v>97</v>
      </c>
      <c r="O15" s="541"/>
      <c r="P15" s="36">
        <f>COUNTIF(P10:P13,"BAJA")</f>
        <v>1</v>
      </c>
      <c r="Q15" s="229"/>
      <c r="V15" s="229"/>
    </row>
    <row r="16" spans="1:26" x14ac:dyDescent="0.2">
      <c r="D16" s="9"/>
      <c r="G16" s="541" t="s">
        <v>99</v>
      </c>
      <c r="H16" s="541"/>
      <c r="I16" s="36">
        <f>COUNTIF(I10:I13,"MODERADA")</f>
        <v>0</v>
      </c>
      <c r="J16" s="229"/>
      <c r="K16" s="229"/>
      <c r="N16" s="541" t="s">
        <v>99</v>
      </c>
      <c r="O16" s="541"/>
      <c r="P16" s="36">
        <f>COUNTIF(P10:P13,"MODERADA")</f>
        <v>2</v>
      </c>
      <c r="Q16" s="229"/>
      <c r="V16" s="229"/>
    </row>
    <row r="17" spans="2:22" x14ac:dyDescent="0.2">
      <c r="D17" s="9"/>
      <c r="G17" s="541" t="s">
        <v>98</v>
      </c>
      <c r="H17" s="541"/>
      <c r="I17" s="36">
        <f>COUNTIF(I10:I13,"ALTA")</f>
        <v>2</v>
      </c>
      <c r="J17" s="229"/>
      <c r="K17" s="229"/>
      <c r="N17" s="541" t="s">
        <v>98</v>
      </c>
      <c r="O17" s="541"/>
      <c r="P17" s="36">
        <f>COUNTIF(P10:P13,"ALTA")</f>
        <v>1</v>
      </c>
      <c r="Q17" s="229"/>
      <c r="V17" s="229"/>
    </row>
    <row r="18" spans="2:22" x14ac:dyDescent="0.2">
      <c r="B18" s="9"/>
      <c r="C18" s="9"/>
      <c r="D18" s="9"/>
      <c r="E18" s="9"/>
      <c r="G18" s="541" t="s">
        <v>100</v>
      </c>
      <c r="H18" s="541"/>
      <c r="I18" s="36">
        <f>COUNTIF(I10:I13,"EXTREMA")</f>
        <v>2</v>
      </c>
      <c r="J18" s="229"/>
      <c r="K18" s="229"/>
      <c r="N18" s="541" t="s">
        <v>100</v>
      </c>
      <c r="O18" s="541"/>
      <c r="P18" s="36">
        <f>COUNTIF(P10:P13,"EXTREMA")</f>
        <v>0</v>
      </c>
      <c r="Q18" s="229"/>
      <c r="V18" s="229"/>
    </row>
    <row r="19" spans="2:22" ht="15.75" x14ac:dyDescent="0.25">
      <c r="B19" s="335"/>
      <c r="C19" s="335"/>
      <c r="D19" s="9"/>
      <c r="E19" s="9"/>
      <c r="G19" s="40"/>
      <c r="H19" s="40"/>
      <c r="I19" s="41"/>
      <c r="J19" s="229"/>
      <c r="K19" s="229"/>
      <c r="N19" s="40"/>
      <c r="O19" s="40"/>
      <c r="P19" s="41"/>
      <c r="Q19" s="229"/>
      <c r="V19" s="229"/>
    </row>
    <row r="20" spans="2:22" ht="51.75" customHeight="1" x14ac:dyDescent="0.2">
      <c r="B20" s="231"/>
      <c r="C20" s="360"/>
      <c r="D20" s="172"/>
      <c r="E20" s="233"/>
      <c r="F20" s="233"/>
      <c r="G20" s="233"/>
      <c r="I20" s="229"/>
      <c r="J20" s="229"/>
      <c r="K20" s="229"/>
      <c r="P20" s="229"/>
      <c r="Q20" s="229"/>
      <c r="V20" s="229"/>
    </row>
    <row r="21" spans="2:22" ht="15" x14ac:dyDescent="0.2">
      <c r="B21" s="363" t="s">
        <v>589</v>
      </c>
      <c r="C21" s="366"/>
      <c r="D21" s="364"/>
      <c r="E21" s="365" t="s">
        <v>654</v>
      </c>
      <c r="F21" s="365"/>
      <c r="G21" s="365"/>
    </row>
    <row r="22" spans="2:22" ht="15" x14ac:dyDescent="0.2">
      <c r="B22" s="232" t="s">
        <v>244</v>
      </c>
      <c r="C22" s="171"/>
      <c r="D22" s="172"/>
      <c r="E22" s="232" t="s">
        <v>245</v>
      </c>
      <c r="F22" s="171"/>
      <c r="G22" s="14"/>
    </row>
  </sheetData>
  <customSheetViews>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5"/>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6"/>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8">
    <mergeCell ref="Y8:Z8"/>
    <mergeCell ref="B1:C3"/>
    <mergeCell ref="E1:U3"/>
    <mergeCell ref="B5:C5"/>
    <mergeCell ref="E5:O5"/>
    <mergeCell ref="P5:Q5"/>
    <mergeCell ref="B6:C6"/>
    <mergeCell ref="E6:T6"/>
    <mergeCell ref="Q8:Q9"/>
    <mergeCell ref="B8:B9"/>
    <mergeCell ref="C8:C9"/>
    <mergeCell ref="D8:D9"/>
    <mergeCell ref="E8:E9"/>
    <mergeCell ref="F8:F9"/>
    <mergeCell ref="G18:H18"/>
    <mergeCell ref="N15:O15"/>
    <mergeCell ref="N16:O16"/>
    <mergeCell ref="N17:O17"/>
    <mergeCell ref="N18:O18"/>
    <mergeCell ref="G15:H15"/>
    <mergeCell ref="G16:H16"/>
    <mergeCell ref="G17:H17"/>
    <mergeCell ref="W11:X11"/>
    <mergeCell ref="W13:X13"/>
    <mergeCell ref="W12:X12"/>
    <mergeCell ref="G8:H8"/>
    <mergeCell ref="I8:I9"/>
    <mergeCell ref="J8:J9"/>
    <mergeCell ref="M8:M9"/>
    <mergeCell ref="K8:L8"/>
    <mergeCell ref="W8:X8"/>
    <mergeCell ref="S8:S9"/>
    <mergeCell ref="T8:T9"/>
    <mergeCell ref="V8:V9"/>
    <mergeCell ref="R8:R9"/>
    <mergeCell ref="U8:U9"/>
    <mergeCell ref="N8:O8"/>
    <mergeCell ref="P8:P9"/>
  </mergeCells>
  <conditionalFormatting sqref="I7:I9 P7:P9 I14:I1048576 P14:P1048576">
    <cfRule type="cellIs" dxfId="718" priority="44" operator="equal">
      <formula>"BAJA"</formula>
    </cfRule>
  </conditionalFormatting>
  <conditionalFormatting sqref="I7:I9 P7:P9 I14:I1048576 P14:P1048576">
    <cfRule type="cellIs" dxfId="717" priority="41" operator="equal">
      <formula>"EXTREMA"</formula>
    </cfRule>
    <cfRule type="cellIs" dxfId="716" priority="42" operator="equal">
      <formula>"ALTA"</formula>
    </cfRule>
    <cfRule type="cellIs" dxfId="715" priority="43" operator="equal">
      <formula>"MODERADA"</formula>
    </cfRule>
  </conditionalFormatting>
  <conditionalFormatting sqref="F7:G7 G8:H9 F14:G19 N7:O9 N14:O1048576 F23:G1048576">
    <cfRule type="colorScale" priority="40">
      <colorScale>
        <cfvo type="num" val="1"/>
        <cfvo type="num" val="3"/>
        <cfvo type="num" val="5"/>
        <color theme="6" tint="-0.499984740745262"/>
        <color rgb="FFFFFF00"/>
        <color rgb="FFC00000"/>
      </colorScale>
    </cfRule>
  </conditionalFormatting>
  <conditionalFormatting sqref="F4:G4 N4:O4">
    <cfRule type="colorScale" priority="12">
      <colorScale>
        <cfvo type="num" val="1"/>
        <cfvo type="num" val="3"/>
        <cfvo type="num" val="5"/>
        <color theme="6" tint="-0.499984740745262"/>
        <color rgb="FFFFFF00"/>
        <color rgb="FFC00000"/>
      </colorScale>
    </cfRule>
  </conditionalFormatting>
  <conditionalFormatting sqref="F20:G22">
    <cfRule type="colorScale" priority="11">
      <colorScale>
        <cfvo type="num" val="1"/>
        <cfvo type="num" val="3"/>
        <cfvo type="num" val="5"/>
        <color theme="6" tint="-0.499984740745262"/>
        <color rgb="FFFFFF00"/>
        <color rgb="FFC00000"/>
      </colorScale>
    </cfRule>
  </conditionalFormatting>
  <conditionalFormatting sqref="G10:H13">
    <cfRule type="colorScale" priority="10">
      <colorScale>
        <cfvo type="num" val="1"/>
        <cfvo type="num" val="3"/>
        <cfvo type="num" val="5"/>
        <color theme="6" tint="-0.499984740745262"/>
        <color rgb="FFFFFF00"/>
        <color rgb="FFC00000"/>
      </colorScale>
    </cfRule>
  </conditionalFormatting>
  <conditionalFormatting sqref="I10:I13">
    <cfRule type="cellIs" dxfId="714" priority="6" operator="equal">
      <formula>"EXTREMA"</formula>
    </cfRule>
    <cfRule type="cellIs" dxfId="713" priority="7" operator="equal">
      <formula>"ALTA"</formula>
    </cfRule>
    <cfRule type="cellIs" dxfId="712" priority="8" operator="equal">
      <formula>"MODERADA"</formula>
    </cfRule>
    <cfRule type="cellIs" dxfId="711" priority="9" operator="equal">
      <formula>"BAJA"</formula>
    </cfRule>
  </conditionalFormatting>
  <conditionalFormatting sqref="P10:P13">
    <cfRule type="cellIs" dxfId="710" priority="2" operator="equal">
      <formula>"EXTREMA"</formula>
    </cfRule>
    <cfRule type="cellIs" dxfId="709" priority="3" operator="equal">
      <formula>"ALTA"</formula>
    </cfRule>
    <cfRule type="cellIs" dxfId="708" priority="4" operator="equal">
      <formula>"MODERADA"</formula>
    </cfRule>
    <cfRule type="cellIs" dxfId="707" priority="5" operator="equal">
      <formula>"BAJA"</formula>
    </cfRule>
  </conditionalFormatting>
  <conditionalFormatting sqref="N10:O1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9055118110236227" top="0.55118110236220474" bottom="0.55118110236220474" header="0.31496062992125984" footer="0.15748031496062992"/>
  <pageSetup paperSize="5" scale="50" fitToHeight="0" orientation="landscape" r:id="rId20"/>
  <drawing r:id="rId2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'/Volumes/GoogleDrive/Mi unidad/COVID REPS/FEBRERO 2021/04 FEBRERO/E:\PLANEACIÓN HRQV\MAPA DE RIESGOS\EVALUACIÓN I SEMESTRE\SEGUIMIENTO MAPA DE RIESGOS\CONTROL INTERNO\[Seguimiento Mapa de Riesgos Control Interno SEM 1 - 2019.xlsx]Listas'!#REF!</xm:f>
          </x14:formula1>
          <xm:sqref>K10:K13 F10:F13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0000"/>
    <pageSetUpPr autoPageBreaks="0"/>
  </sheetPr>
  <dimension ref="A1:G24"/>
  <sheetViews>
    <sheetView topLeftCell="A10" zoomScale="85" zoomScaleNormal="85" workbookViewId="0">
      <selection activeCell="A17" sqref="A17"/>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118" customFormat="1" ht="24" customHeight="1" x14ac:dyDescent="0.25">
      <c r="A1" s="689" t="s">
        <v>7</v>
      </c>
      <c r="B1" s="120" t="s">
        <v>181</v>
      </c>
      <c r="C1" s="121">
        <v>1</v>
      </c>
      <c r="D1" s="121">
        <v>2</v>
      </c>
      <c r="E1" s="121">
        <v>3</v>
      </c>
      <c r="F1" s="121">
        <v>4</v>
      </c>
      <c r="G1" s="122">
        <v>5</v>
      </c>
    </row>
    <row r="2" spans="1:7" ht="63.95" customHeight="1" x14ac:dyDescent="0.25">
      <c r="A2" s="690"/>
      <c r="B2" s="117" t="s">
        <v>182</v>
      </c>
      <c r="C2" s="119" t="s">
        <v>156</v>
      </c>
      <c r="D2" s="119" t="s">
        <v>161</v>
      </c>
      <c r="E2" s="119" t="s">
        <v>166</v>
      </c>
      <c r="F2" s="119" t="s">
        <v>171</v>
      </c>
      <c r="G2" s="123" t="s">
        <v>176</v>
      </c>
    </row>
    <row r="3" spans="1:7" s="118" customFormat="1" ht="24" customHeight="1" thickBot="1" x14ac:dyDescent="0.3">
      <c r="A3" s="691"/>
      <c r="B3" s="131" t="s">
        <v>183</v>
      </c>
      <c r="C3" s="132" t="s">
        <v>47</v>
      </c>
      <c r="D3" s="132" t="s">
        <v>48</v>
      </c>
      <c r="E3" s="132" t="s">
        <v>14</v>
      </c>
      <c r="F3" s="132" t="s">
        <v>49</v>
      </c>
      <c r="G3" s="133" t="s">
        <v>50</v>
      </c>
    </row>
    <row r="4" spans="1:7" ht="36" customHeight="1" x14ac:dyDescent="0.25">
      <c r="A4" s="692" t="s">
        <v>153</v>
      </c>
      <c r="B4" s="128" t="s">
        <v>154</v>
      </c>
      <c r="C4" s="129" t="s">
        <v>157</v>
      </c>
      <c r="D4" s="129" t="s">
        <v>162</v>
      </c>
      <c r="E4" s="129" t="s">
        <v>167</v>
      </c>
      <c r="F4" s="129" t="s">
        <v>172</v>
      </c>
      <c r="G4" s="130" t="s">
        <v>177</v>
      </c>
    </row>
    <row r="5" spans="1:7" ht="36" customHeight="1" x14ac:dyDescent="0.25">
      <c r="A5" s="690"/>
      <c r="B5" s="117" t="s">
        <v>155</v>
      </c>
      <c r="C5" s="3" t="s">
        <v>158</v>
      </c>
      <c r="D5" s="3" t="s">
        <v>163</v>
      </c>
      <c r="E5" s="3" t="s">
        <v>168</v>
      </c>
      <c r="F5" s="3" t="s">
        <v>173</v>
      </c>
      <c r="G5" s="124" t="s">
        <v>178</v>
      </c>
    </row>
    <row r="6" spans="1:7" ht="36" customHeight="1" x14ac:dyDescent="0.25">
      <c r="A6" s="690"/>
      <c r="B6" s="117" t="s">
        <v>12</v>
      </c>
      <c r="C6" s="3" t="s">
        <v>159</v>
      </c>
      <c r="D6" s="3" t="s">
        <v>164</v>
      </c>
      <c r="E6" s="3" t="s">
        <v>169</v>
      </c>
      <c r="F6" s="3" t="s">
        <v>174</v>
      </c>
      <c r="G6" s="124" t="s">
        <v>179</v>
      </c>
    </row>
    <row r="7" spans="1:7" ht="36" customHeight="1" x14ac:dyDescent="0.25">
      <c r="A7" s="690"/>
      <c r="B7" s="117" t="s">
        <v>32</v>
      </c>
      <c r="C7" s="3" t="s">
        <v>160</v>
      </c>
      <c r="D7" s="3" t="s">
        <v>165</v>
      </c>
      <c r="E7" s="3" t="s">
        <v>170</v>
      </c>
      <c r="F7" s="3" t="s">
        <v>175</v>
      </c>
      <c r="G7" s="124" t="s">
        <v>180</v>
      </c>
    </row>
    <row r="8" spans="1:7" ht="36" customHeight="1" x14ac:dyDescent="0.25">
      <c r="A8" s="690"/>
      <c r="B8" s="117" t="s">
        <v>184</v>
      </c>
      <c r="C8" s="3" t="s">
        <v>185</v>
      </c>
      <c r="D8" s="3" t="s">
        <v>186</v>
      </c>
      <c r="E8" s="3" t="s">
        <v>187</v>
      </c>
      <c r="F8" s="3" t="s">
        <v>188</v>
      </c>
      <c r="G8" s="124" t="s">
        <v>189</v>
      </c>
    </row>
    <row r="9" spans="1:7" ht="63.95" customHeight="1" x14ac:dyDescent="0.25">
      <c r="A9" s="690"/>
      <c r="B9" s="117" t="s">
        <v>190</v>
      </c>
      <c r="C9" s="3" t="s">
        <v>193</v>
      </c>
      <c r="D9" s="3" t="s">
        <v>194</v>
      </c>
      <c r="E9" s="3" t="s">
        <v>195</v>
      </c>
      <c r="F9" s="3" t="s">
        <v>196</v>
      </c>
      <c r="G9" s="124" t="s">
        <v>197</v>
      </c>
    </row>
    <row r="10" spans="1:7" ht="63.95" customHeight="1" x14ac:dyDescent="0.25">
      <c r="A10" s="690"/>
      <c r="B10" s="117" t="s">
        <v>74</v>
      </c>
      <c r="C10" s="3" t="s">
        <v>198</v>
      </c>
      <c r="D10" s="3" t="s">
        <v>199</v>
      </c>
      <c r="E10" s="3" t="s">
        <v>201</v>
      </c>
      <c r="F10" s="3" t="s">
        <v>200</v>
      </c>
      <c r="G10" s="124" t="s">
        <v>202</v>
      </c>
    </row>
    <row r="11" spans="1:7" ht="50.1" customHeight="1" x14ac:dyDescent="0.25">
      <c r="A11" s="690"/>
      <c r="B11" s="117" t="s">
        <v>191</v>
      </c>
      <c r="C11" s="3" t="s">
        <v>203</v>
      </c>
      <c r="D11" s="3" t="s">
        <v>203</v>
      </c>
      <c r="E11" s="3" t="s">
        <v>203</v>
      </c>
      <c r="F11" s="3" t="s">
        <v>203</v>
      </c>
      <c r="G11" s="124" t="s">
        <v>204</v>
      </c>
    </row>
    <row r="12" spans="1:7" ht="36" customHeight="1" thickBot="1" x14ac:dyDescent="0.3">
      <c r="A12" s="691"/>
      <c r="B12" s="125" t="s">
        <v>192</v>
      </c>
      <c r="C12" s="126" t="s">
        <v>205</v>
      </c>
      <c r="D12" s="126" t="s">
        <v>205</v>
      </c>
      <c r="E12" s="126" t="s">
        <v>205</v>
      </c>
      <c r="F12" s="126" t="s">
        <v>205</v>
      </c>
      <c r="G12" s="127" t="s">
        <v>205</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B83C9EB8-C964-4489-98C8-19C81BFAE010}" scale="126" topLeftCell="D7">
      <selection activeCell="I12" sqref="I12"/>
      <pageMargins left="0.7" right="0.7" top="0.75" bottom="0.75" header="0.3" footer="0.3"/>
      <pageSetup paperSize="9" orientation="portrait" r:id="rId1"/>
    </customSheetView>
    <customSheetView guid="{42BB51DB-DC3E-4DA5-9499-5574EB19780E}" scale="126" topLeftCell="D7">
      <selection activeCell="I12" sqref="I12"/>
      <pageMargins left="0.7" right="0.7" top="0.75" bottom="0.75" header="0.3" footer="0.3"/>
      <pageSetup paperSize="9" orientation="portrait" r:id="rId2"/>
    </customSheetView>
    <customSheetView guid="{D8BB7E15-0E8F-45FC-AD1A-6D8C295A087C}" scale="126" topLeftCell="D7">
      <selection activeCell="I12" sqref="I12"/>
      <pageMargins left="0.7" right="0.7" top="0.75" bottom="0.75" header="0.3" footer="0.3"/>
      <pageSetup paperSize="9" orientation="portrait" r:id="rId3"/>
    </customSheetView>
    <customSheetView guid="{F7D68F61-F89A-4541-9A78-C25C58CA23E3}" scale="126" printArea="1" topLeftCell="D7">
      <selection activeCell="I12" sqref="I12"/>
      <pageMargins left="0.7" right="0.7" top="0.75" bottom="0.75" header="0.3" footer="0.3"/>
      <pageSetup paperSize="9" orientation="portrait" r:id="rId4"/>
    </customSheetView>
    <customSheetView guid="{4890415D-ABA4-4363-9A7D-9DAD39F08A9F}" scale="126" printArea="1" topLeftCell="D7">
      <selection activeCell="I12" sqref="I12"/>
      <pageMargins left="0.7" right="0.7" top="0.75" bottom="0.75" header="0.3" footer="0.3"/>
      <pageSetup paperSize="9" orientation="portrait" r:id="rId5"/>
    </customSheetView>
    <customSheetView guid="{D504B807-AE7E-4042-848D-21D8E9CBBAC1}" scale="126" topLeftCell="D7">
      <selection activeCell="I12" sqref="I12"/>
      <pageMargins left="0.7" right="0.7" top="0.75" bottom="0.75" header="0.3" footer="0.3"/>
      <pageSetup paperSize="9" orientation="portrait" r:id="rId6"/>
    </customSheetView>
    <customSheetView guid="{C9A812A3-B23E-4057-8694-158B0DEE8D06}" scale="126" topLeftCell="D7">
      <selection activeCell="I12" sqref="I12"/>
      <pageMargins left="0.7" right="0.7" top="0.75" bottom="0.75" header="0.3" footer="0.3"/>
      <pageSetup paperSize="9" orientation="portrait" r:id="rId7"/>
    </customSheetView>
    <customSheetView guid="{B74BB35E-E214-422E-BB39-6D168553F4C5}" scale="126" topLeftCell="D7">
      <selection activeCell="I12" sqref="I12"/>
      <pageMargins left="0.7" right="0.7" top="0.75" bottom="0.75" header="0.3" footer="0.3"/>
      <pageSetup paperSize="9" orientation="portrait" r:id="rId8"/>
    </customSheetView>
    <customSheetView guid="{915A0EBC-A358-405B-93F7-90752DA34B9F}"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C8C25E0F-313C-40E1-BC27-B55128053FAD}" scale="126" topLeftCell="D7">
      <selection activeCell="I12" sqref="I12"/>
      <pageMargins left="0.7" right="0.7" top="0.75" bottom="0.75" header="0.3" footer="0.3"/>
      <pageSetup paperSize="9" orientation="portrait" r:id="rId11"/>
    </customSheetView>
    <customSheetView guid="{D674221F-3F50-45D7-B99E-107AE99970DE}" scale="126" topLeftCell="D7">
      <selection activeCell="I12" sqref="I12"/>
      <pageMargins left="0.7" right="0.7" top="0.75" bottom="0.75" header="0.3" footer="0.3"/>
      <pageSetup paperSize="9" orientation="portrait" r:id="rId12"/>
    </customSheetView>
    <customSheetView guid="{E51A7B7A-B72C-4D0D-BEC9-3100296DDB1B}" scale="126" topLeftCell="D7">
      <selection activeCell="I12" sqref="I12"/>
      <pageMargins left="0.7" right="0.7" top="0.75" bottom="0.75" header="0.3" footer="0.3"/>
      <pageSetup paperSize="9" orientation="portrait" r:id="rId13"/>
    </customSheetView>
    <customSheetView guid="{C9A17BF0-2451-44C4-898F-CFB8403323EA}" scale="126" topLeftCell="D7">
      <selection activeCell="I12" sqref="I12"/>
      <pageMargins left="0.7" right="0.7" top="0.75" bottom="0.75" header="0.3" footer="0.3"/>
      <pageSetup paperSize="9" orientation="portrait" r:id="rId14"/>
    </customSheetView>
    <customSheetView guid="{DC041AD4-35AB-4F1B-9F3D-F08C88A9A16C}" scale="126" topLeftCell="D7">
      <selection activeCell="I12" sqref="I12"/>
      <pageMargins left="0.7" right="0.7" top="0.75" bottom="0.75" header="0.3" footer="0.3"/>
      <pageSetup paperSize="9" orientation="portrait" r:id="rId15"/>
    </customSheetView>
    <customSheetView guid="{CC42E740-ADA2-4B3E-AB77-9BBCCE9EC444}" scale="126" topLeftCell="D7">
      <selection activeCell="I12" sqref="I12"/>
      <pageMargins left="0.7" right="0.7" top="0.75" bottom="0.75" header="0.3" footer="0.3"/>
      <pageSetup paperSize="9" orientation="portrait" r:id="rId16"/>
    </customSheetView>
    <customSheetView guid="{AF3BF2A1-5C19-43AE-A08B-3E418E8AE543}" scale="126" topLeftCell="D7">
      <selection activeCell="I12" sqref="I12"/>
      <pageMargins left="0.7" right="0.7" top="0.75" bottom="0.75" header="0.3" footer="0.3"/>
      <pageSetup paperSize="9" orientation="portrait" r:id="rId17"/>
    </customSheetView>
    <customSheetView guid="{ADD38025-F4B2-44E2-9D06-07A9BF0F3A51}" topLeftCell="B1">
      <selection activeCell="I12" sqref="I12"/>
      <pageMargins left="0.7" right="0.7" top="0.75" bottom="0.75" header="0.3" footer="0.3"/>
      <pageSetup paperSize="9" orientation="portrait" r:id="rId18"/>
    </customSheetView>
    <customSheetView guid="{97D65C1E-976A-4956-97FC-0E8188ABCFAA}" topLeftCell="B1">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0000"/>
  </sheetPr>
  <dimension ref="B1:AH9"/>
  <sheetViews>
    <sheetView zoomScale="131" zoomScaleNormal="131" workbookViewId="0">
      <selection activeCell="A17" sqref="A17"/>
    </sheetView>
  </sheetViews>
  <sheetFormatPr baseColWidth="10" defaultColWidth="11.42578125" defaultRowHeight="15" x14ac:dyDescent="0.25"/>
  <cols>
    <col min="1" max="1" width="6.7109375" style="57" customWidth="1"/>
    <col min="2" max="2" width="5.7109375" style="57" customWidth="1"/>
    <col min="3" max="3" width="4.7109375" style="57" customWidth="1"/>
    <col min="4" max="8" width="8.7109375" style="57" customWidth="1"/>
    <col min="9" max="9" width="5.7109375" style="57" customWidth="1"/>
    <col min="10" max="89" width="2.7109375" style="57" customWidth="1"/>
    <col min="90" max="16384" width="11.42578125" style="57"/>
  </cols>
  <sheetData>
    <row r="1" spans="2:34" ht="36" customHeight="1" x14ac:dyDescent="0.25"/>
    <row r="2" spans="2:34" ht="39.950000000000003" customHeight="1" x14ac:dyDescent="0.25">
      <c r="B2" s="694" t="s">
        <v>6</v>
      </c>
      <c r="C2" s="57">
        <v>5</v>
      </c>
      <c r="D2" s="140">
        <f>$C2*D$7</f>
        <v>5</v>
      </c>
      <c r="E2" s="141">
        <f t="shared" ref="D2:H6" si="0">$C2*E$7</f>
        <v>10</v>
      </c>
      <c r="F2" s="142">
        <f t="shared" si="0"/>
        <v>15</v>
      </c>
      <c r="G2" s="143">
        <f t="shared" si="0"/>
        <v>20</v>
      </c>
      <c r="H2" s="143">
        <f t="shared" si="0"/>
        <v>25</v>
      </c>
    </row>
    <row r="3" spans="2:34" ht="39.950000000000003" customHeight="1" x14ac:dyDescent="0.25">
      <c r="B3" s="694"/>
      <c r="C3" s="57">
        <v>4</v>
      </c>
      <c r="D3" s="144">
        <f t="shared" si="0"/>
        <v>4</v>
      </c>
      <c r="E3" s="140">
        <f t="shared" si="0"/>
        <v>8</v>
      </c>
      <c r="F3" s="141">
        <f t="shared" si="0"/>
        <v>12</v>
      </c>
      <c r="G3" s="142">
        <f t="shared" si="0"/>
        <v>16</v>
      </c>
      <c r="H3" s="143">
        <f t="shared" si="0"/>
        <v>20</v>
      </c>
    </row>
    <row r="4" spans="2:34" ht="39.950000000000003" customHeight="1" x14ac:dyDescent="0.25">
      <c r="B4" s="694"/>
      <c r="C4" s="57">
        <v>3</v>
      </c>
      <c r="D4" s="144">
        <f t="shared" si="0"/>
        <v>3</v>
      </c>
      <c r="E4" s="140">
        <f t="shared" si="0"/>
        <v>6</v>
      </c>
      <c r="F4" s="140">
        <f t="shared" si="0"/>
        <v>9</v>
      </c>
      <c r="G4" s="141">
        <f t="shared" si="0"/>
        <v>12</v>
      </c>
      <c r="H4" s="142">
        <f t="shared" si="0"/>
        <v>15</v>
      </c>
    </row>
    <row r="5" spans="2:34" ht="39.950000000000003" customHeight="1" x14ac:dyDescent="0.25">
      <c r="B5" s="694"/>
      <c r="C5" s="57">
        <v>2</v>
      </c>
      <c r="D5" s="144">
        <f t="shared" si="0"/>
        <v>2</v>
      </c>
      <c r="E5" s="144">
        <f t="shared" si="0"/>
        <v>4</v>
      </c>
      <c r="F5" s="140">
        <f t="shared" si="0"/>
        <v>6</v>
      </c>
      <c r="G5" s="140">
        <f t="shared" si="0"/>
        <v>8</v>
      </c>
      <c r="H5" s="141">
        <f t="shared" si="0"/>
        <v>10</v>
      </c>
    </row>
    <row r="6" spans="2:34" ht="39.950000000000003" customHeight="1" x14ac:dyDescent="0.25">
      <c r="B6" s="694"/>
      <c r="C6" s="57">
        <v>1</v>
      </c>
      <c r="D6" s="144">
        <f t="shared" si="0"/>
        <v>1</v>
      </c>
      <c r="E6" s="144">
        <f t="shared" si="0"/>
        <v>2</v>
      </c>
      <c r="F6" s="144">
        <f t="shared" si="0"/>
        <v>3</v>
      </c>
      <c r="G6" s="140">
        <f t="shared" si="0"/>
        <v>4</v>
      </c>
      <c r="H6" s="140">
        <f t="shared" si="0"/>
        <v>5</v>
      </c>
    </row>
    <row r="7" spans="2:34" ht="24" customHeight="1" x14ac:dyDescent="0.25">
      <c r="D7" s="57">
        <v>1</v>
      </c>
      <c r="E7" s="57">
        <v>2</v>
      </c>
      <c r="F7" s="57">
        <v>3</v>
      </c>
      <c r="G7" s="57">
        <v>4</v>
      </c>
      <c r="H7" s="57">
        <v>5</v>
      </c>
    </row>
    <row r="8" spans="2:34" ht="9.9499999999999993" customHeight="1" x14ac:dyDescent="0.25">
      <c r="D8" s="693" t="s">
        <v>7</v>
      </c>
      <c r="E8" s="693"/>
      <c r="F8" s="693"/>
      <c r="G8" s="693"/>
      <c r="H8" s="693"/>
      <c r="J8" s="137"/>
      <c r="K8" s="137"/>
      <c r="L8" s="137"/>
      <c r="M8" s="137"/>
      <c r="N8" s="136"/>
      <c r="O8" s="136"/>
      <c r="P8" s="136"/>
      <c r="Q8" s="136"/>
      <c r="R8" s="136"/>
      <c r="S8" s="134"/>
      <c r="T8" s="134"/>
      <c r="U8" s="134"/>
      <c r="V8" s="134"/>
      <c r="W8" s="134"/>
      <c r="X8" s="138"/>
      <c r="Y8" s="138"/>
      <c r="Z8" s="138"/>
      <c r="AA8" s="138"/>
      <c r="AB8" s="138"/>
      <c r="AC8" s="139"/>
      <c r="AD8" s="139"/>
      <c r="AE8" s="139"/>
      <c r="AF8" s="139"/>
      <c r="AG8" s="139"/>
      <c r="AH8" s="139"/>
    </row>
    <row r="9" spans="2:34" x14ac:dyDescent="0.25">
      <c r="D9" s="693"/>
      <c r="E9" s="693"/>
      <c r="F9" s="693"/>
      <c r="G9" s="693"/>
      <c r="H9" s="693"/>
      <c r="J9" s="135">
        <v>1</v>
      </c>
      <c r="K9" s="135">
        <v>2</v>
      </c>
      <c r="L9" s="135">
        <v>3</v>
      </c>
      <c r="M9" s="135">
        <v>4</v>
      </c>
      <c r="N9" s="135">
        <v>5</v>
      </c>
      <c r="O9" s="135">
        <v>6</v>
      </c>
      <c r="P9" s="135">
        <v>7</v>
      </c>
      <c r="Q9" s="135">
        <v>8</v>
      </c>
      <c r="R9" s="135">
        <v>9</v>
      </c>
      <c r="S9" s="135">
        <v>10</v>
      </c>
      <c r="T9" s="135">
        <v>11</v>
      </c>
      <c r="U9" s="135">
        <v>12</v>
      </c>
      <c r="V9" s="135">
        <v>13</v>
      </c>
      <c r="W9" s="135">
        <v>14</v>
      </c>
      <c r="X9" s="135">
        <v>15</v>
      </c>
      <c r="Y9" s="135">
        <v>16</v>
      </c>
      <c r="Z9" s="135">
        <v>17</v>
      </c>
      <c r="AA9" s="135">
        <v>18</v>
      </c>
      <c r="AB9" s="135">
        <v>19</v>
      </c>
      <c r="AC9" s="135">
        <v>20</v>
      </c>
      <c r="AD9" s="135">
        <v>21</v>
      </c>
      <c r="AE9" s="135">
        <v>22</v>
      </c>
      <c r="AF9" s="135">
        <v>23</v>
      </c>
      <c r="AG9" s="135">
        <v>24</v>
      </c>
      <c r="AH9" s="135">
        <v>25</v>
      </c>
    </row>
  </sheetData>
  <customSheetViews>
    <customSheetView guid="{B83C9EB8-C964-4489-98C8-19C81BFAE010}" scale="131">
      <pageMargins left="0.7" right="0.7" top="0.75" bottom="0.75" header="0.3" footer="0.3"/>
      <pageSetup paperSize="9" orientation="portrait" r:id="rId1"/>
    </customSheetView>
    <customSheetView guid="{42BB51DB-DC3E-4DA5-9499-5574EB19780E}" scale="131">
      <pageMargins left="0.7" right="0.7" top="0.75" bottom="0.75" header="0.3" footer="0.3"/>
      <pageSetup paperSize="9" orientation="portrait" r:id="rId2"/>
    </customSheetView>
    <customSheetView guid="{D8BB7E15-0E8F-45FC-AD1A-6D8C295A087C}" scale="131">
      <pageMargins left="0.7" right="0.7" top="0.75" bottom="0.75" header="0.3" footer="0.3"/>
      <pageSetup paperSize="9" orientation="portrait" r:id="rId3"/>
    </customSheetView>
    <customSheetView guid="{F7D68F61-F89A-4541-9A78-C25C58CA23E3}" scale="131">
      <pageMargins left="0.7" right="0.7" top="0.75" bottom="0.75" header="0.3" footer="0.3"/>
      <pageSetup paperSize="9" orientation="portrait" r:id="rId4"/>
    </customSheetView>
    <customSheetView guid="{4890415D-ABA4-4363-9A7D-9DAD39F08A9F}" scale="131">
      <pageMargins left="0.7" right="0.7" top="0.75" bottom="0.75" header="0.3" footer="0.3"/>
      <pageSetup paperSize="9" orientation="portrait" r:id="rId5"/>
    </customSheetView>
    <customSheetView guid="{D504B807-AE7E-4042-848D-21D8E9CBBAC1}" scale="131">
      <pageMargins left="0.7" right="0.7" top="0.75" bottom="0.75" header="0.3" footer="0.3"/>
      <pageSetup paperSize="9" orientation="portrait" r:id="rId6"/>
    </customSheetView>
    <customSheetView guid="{C9A812A3-B23E-4057-8694-158B0DEE8D06}" scale="131">
      <pageMargins left="0.7" right="0.7" top="0.75" bottom="0.75" header="0.3" footer="0.3"/>
      <pageSetup paperSize="9" orientation="portrait" r:id="rId7"/>
    </customSheetView>
    <customSheetView guid="{B74BB35E-E214-422E-BB39-6D168553F4C5}" scale="131">
      <pageMargins left="0.7" right="0.7" top="0.75" bottom="0.75" header="0.3" footer="0.3"/>
      <pageSetup paperSize="9" orientation="portrait" r:id="rId8"/>
    </customSheetView>
    <customSheetView guid="{915A0EBC-A358-405B-93F7-90752DA34B9F}"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C8C25E0F-313C-40E1-BC27-B55128053FAD}" scale="131">
      <pageMargins left="0.7" right="0.7" top="0.75" bottom="0.75" header="0.3" footer="0.3"/>
      <pageSetup paperSize="9" orientation="portrait" r:id="rId11"/>
    </customSheetView>
    <customSheetView guid="{D674221F-3F50-45D7-B99E-107AE99970DE}" scale="131">
      <pageMargins left="0.7" right="0.7" top="0.75" bottom="0.75" header="0.3" footer="0.3"/>
      <pageSetup paperSize="9" orientation="portrait" r:id="rId12"/>
    </customSheetView>
    <customSheetView guid="{E51A7B7A-B72C-4D0D-BEC9-3100296DDB1B}" scale="131">
      <pageMargins left="0.7" right="0.7" top="0.75" bottom="0.75" header="0.3" footer="0.3"/>
      <pageSetup paperSize="9" orientation="portrait" r:id="rId13"/>
    </customSheetView>
    <customSheetView guid="{C9A17BF0-2451-44C4-898F-CFB8403323EA}" scale="131">
      <pageMargins left="0.7" right="0.7" top="0.75" bottom="0.75" header="0.3" footer="0.3"/>
      <pageSetup paperSize="9" orientation="portrait" r:id="rId14"/>
    </customSheetView>
    <customSheetView guid="{DC041AD4-35AB-4F1B-9F3D-F08C88A9A16C}" scale="131">
      <pageMargins left="0.7" right="0.7" top="0.75" bottom="0.75" header="0.3" footer="0.3"/>
      <pageSetup paperSize="9" orientation="portrait" r:id="rId15"/>
    </customSheetView>
    <customSheetView guid="{CC42E740-ADA2-4B3E-AB77-9BBCCE9EC444}" scale="131">
      <pageMargins left="0.7" right="0.7" top="0.75" bottom="0.75" header="0.3" footer="0.3"/>
      <pageSetup paperSize="9" orientation="portrait" r:id="rId16"/>
    </customSheetView>
    <customSheetView guid="{AF3BF2A1-5C19-43AE-A08B-3E418E8AE543}" scale="131">
      <pageMargins left="0.7" right="0.7" top="0.75" bottom="0.75" header="0.3" footer="0.3"/>
      <pageSetup paperSize="9" orientation="portrait" r:id="rId17"/>
    </customSheetView>
    <customSheetView guid="{ADD38025-F4B2-44E2-9D06-07A9BF0F3A51}" scale="131">
      <pageMargins left="0.7" right="0.7" top="0.75" bottom="0.75" header="0.3" footer="0.3"/>
      <pageSetup paperSize="9" orientation="portrait" r:id="rId18"/>
    </customSheetView>
    <customSheetView guid="{97D65C1E-976A-4956-97FC-0E8188ABCFAA}"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C0000"/>
  </sheetPr>
  <dimension ref="A1"/>
  <sheetViews>
    <sheetView topLeftCell="A4" workbookViewId="0">
      <selection activeCell="A17" sqref="A17"/>
    </sheetView>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0000"/>
  </sheetPr>
  <dimension ref="C2:N23"/>
  <sheetViews>
    <sheetView showGridLines="0" topLeftCell="D1" workbookViewId="0">
      <selection activeCell="A17" sqref="A17"/>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42578125" customWidth="1"/>
    <col min="10" max="10" width="11.85546875" customWidth="1"/>
    <col min="13" max="13" width="17" customWidth="1"/>
    <col min="14" max="14" width="37.140625" customWidth="1"/>
  </cols>
  <sheetData>
    <row r="2" spans="3:14" ht="15.75" thickBot="1" x14ac:dyDescent="0.3"/>
    <row r="3" spans="3:14" ht="27.75" customHeight="1" x14ac:dyDescent="0.25">
      <c r="C3" s="698" t="s">
        <v>51</v>
      </c>
      <c r="D3" s="699"/>
      <c r="E3" s="699"/>
      <c r="F3" s="702" t="s">
        <v>7</v>
      </c>
      <c r="G3" s="702"/>
      <c r="H3" s="702"/>
      <c r="I3" s="702"/>
      <c r="J3" s="703"/>
      <c r="L3" s="55"/>
      <c r="M3" s="706" t="s">
        <v>56</v>
      </c>
      <c r="N3" s="707"/>
    </row>
    <row r="4" spans="3:14" ht="27.75" customHeight="1" thickBot="1" x14ac:dyDescent="0.3">
      <c r="C4" s="700"/>
      <c r="D4" s="701"/>
      <c r="E4" s="701"/>
      <c r="F4" s="201">
        <v>1</v>
      </c>
      <c r="G4" s="201">
        <v>2</v>
      </c>
      <c r="H4" s="201">
        <v>3</v>
      </c>
      <c r="I4" s="201">
        <v>4</v>
      </c>
      <c r="J4" s="207">
        <v>5</v>
      </c>
      <c r="L4" s="55"/>
      <c r="M4" s="708"/>
      <c r="N4" s="709"/>
    </row>
    <row r="5" spans="3:14" ht="24.75" customHeight="1" thickTop="1" x14ac:dyDescent="0.25">
      <c r="C5" s="700"/>
      <c r="D5" s="701"/>
      <c r="E5" s="701"/>
      <c r="F5" s="202" t="s">
        <v>47</v>
      </c>
      <c r="G5" s="202" t="s">
        <v>48</v>
      </c>
      <c r="H5" s="202" t="s">
        <v>14</v>
      </c>
      <c r="I5" s="202" t="s">
        <v>49</v>
      </c>
      <c r="J5" s="208" t="s">
        <v>50</v>
      </c>
      <c r="L5" s="710" t="s">
        <v>144</v>
      </c>
      <c r="M5" s="197" t="s">
        <v>140</v>
      </c>
      <c r="N5" s="198" t="s">
        <v>57</v>
      </c>
    </row>
    <row r="6" spans="3:14" ht="21.75" customHeight="1" x14ac:dyDescent="0.25">
      <c r="C6" s="704" t="s">
        <v>6</v>
      </c>
      <c r="D6" s="203">
        <v>1</v>
      </c>
      <c r="E6" s="204" t="s">
        <v>120</v>
      </c>
      <c r="F6" s="197" t="s">
        <v>52</v>
      </c>
      <c r="G6" s="197" t="s">
        <v>52</v>
      </c>
      <c r="H6" s="197" t="s">
        <v>53</v>
      </c>
      <c r="I6" s="197" t="s">
        <v>54</v>
      </c>
      <c r="J6" s="198" t="s">
        <v>54</v>
      </c>
      <c r="L6" s="711"/>
      <c r="M6" s="197" t="s">
        <v>141</v>
      </c>
      <c r="N6" s="198" t="s">
        <v>134</v>
      </c>
    </row>
    <row r="7" spans="3:14" ht="24" customHeight="1" x14ac:dyDescent="0.25">
      <c r="C7" s="704"/>
      <c r="D7" s="203">
        <v>2</v>
      </c>
      <c r="E7" s="204" t="s">
        <v>121</v>
      </c>
      <c r="F7" s="197" t="s">
        <v>52</v>
      </c>
      <c r="G7" s="197" t="s">
        <v>52</v>
      </c>
      <c r="H7" s="197" t="s">
        <v>53</v>
      </c>
      <c r="I7" s="197" t="s">
        <v>54</v>
      </c>
      <c r="J7" s="198" t="s">
        <v>55</v>
      </c>
      <c r="L7" s="711"/>
      <c r="M7" s="197" t="s">
        <v>142</v>
      </c>
      <c r="N7" s="198" t="s">
        <v>135</v>
      </c>
    </row>
    <row r="8" spans="3:14" ht="24.75" customHeight="1" thickBot="1" x14ac:dyDescent="0.3">
      <c r="C8" s="704"/>
      <c r="D8" s="203">
        <v>3</v>
      </c>
      <c r="E8" s="204" t="s">
        <v>151</v>
      </c>
      <c r="F8" s="197" t="s">
        <v>52</v>
      </c>
      <c r="G8" s="197" t="s">
        <v>53</v>
      </c>
      <c r="H8" s="197" t="s">
        <v>54</v>
      </c>
      <c r="I8" s="197" t="s">
        <v>55</v>
      </c>
      <c r="J8" s="198" t="s">
        <v>55</v>
      </c>
      <c r="L8" s="712"/>
      <c r="M8" s="199" t="s">
        <v>143</v>
      </c>
      <c r="N8" s="200" t="s">
        <v>135</v>
      </c>
    </row>
    <row r="9" spans="3:14" ht="24" customHeight="1" thickTop="1" thickBot="1" x14ac:dyDescent="0.3">
      <c r="C9" s="704"/>
      <c r="D9" s="203">
        <v>4</v>
      </c>
      <c r="E9" s="204" t="s">
        <v>123</v>
      </c>
      <c r="F9" s="197" t="s">
        <v>53</v>
      </c>
      <c r="G9" s="197" t="s">
        <v>54</v>
      </c>
      <c r="H9" s="197" t="s">
        <v>54</v>
      </c>
      <c r="I9" s="197" t="s">
        <v>55</v>
      </c>
      <c r="J9" s="198" t="s">
        <v>55</v>
      </c>
      <c r="L9" s="55"/>
      <c r="M9" s="55"/>
      <c r="N9" s="55"/>
    </row>
    <row r="10" spans="3:14" ht="42" customHeight="1" thickTop="1" thickBot="1" x14ac:dyDescent="0.3">
      <c r="C10" s="705"/>
      <c r="D10" s="205">
        <v>5</v>
      </c>
      <c r="E10" s="206" t="s">
        <v>152</v>
      </c>
      <c r="F10" s="199" t="s">
        <v>54</v>
      </c>
      <c r="G10" s="199" t="s">
        <v>54</v>
      </c>
      <c r="H10" s="199" t="s">
        <v>55</v>
      </c>
      <c r="I10" s="199" t="s">
        <v>55</v>
      </c>
      <c r="J10" s="200" t="s">
        <v>55</v>
      </c>
      <c r="L10" s="713" t="s">
        <v>145</v>
      </c>
      <c r="M10" s="211" t="s">
        <v>83</v>
      </c>
      <c r="N10" s="212" t="s">
        <v>136</v>
      </c>
    </row>
    <row r="11" spans="3:14" ht="60" x14ac:dyDescent="0.25">
      <c r="L11" s="714"/>
      <c r="M11" s="213" t="s">
        <v>79</v>
      </c>
      <c r="N11" s="214" t="s">
        <v>137</v>
      </c>
    </row>
    <row r="12" spans="3:14" ht="53.25" customHeight="1" x14ac:dyDescent="0.25">
      <c r="L12" s="714"/>
      <c r="M12" s="213" t="s">
        <v>84</v>
      </c>
      <c r="N12" s="214" t="s">
        <v>138</v>
      </c>
    </row>
    <row r="13" spans="3:14" ht="51.75" customHeight="1" thickBot="1" x14ac:dyDescent="0.3">
      <c r="L13" s="715"/>
      <c r="M13" s="215" t="s">
        <v>57</v>
      </c>
      <c r="N13" s="216" t="s">
        <v>139</v>
      </c>
    </row>
    <row r="14" spans="3:14" ht="15.75" thickTop="1" x14ac:dyDescent="0.25"/>
    <row r="17" spans="7:9" ht="15.75" thickBot="1" x14ac:dyDescent="0.3"/>
    <row r="18" spans="7:9" ht="31.5" customHeight="1" thickBot="1" x14ac:dyDescent="0.3">
      <c r="G18" s="695" t="s">
        <v>36</v>
      </c>
      <c r="H18" s="696"/>
      <c r="I18" s="697"/>
    </row>
    <row r="19" spans="7:9" ht="29.25" customHeight="1" x14ac:dyDescent="0.25">
      <c r="G19" s="217">
        <v>1</v>
      </c>
      <c r="H19" s="221" t="s">
        <v>37</v>
      </c>
      <c r="I19" s="222" t="s">
        <v>42</v>
      </c>
    </row>
    <row r="20" spans="7:9" ht="25.5" customHeight="1" x14ac:dyDescent="0.25">
      <c r="G20" s="218">
        <v>2</v>
      </c>
      <c r="H20" s="223" t="s">
        <v>38</v>
      </c>
      <c r="I20" s="224" t="s">
        <v>43</v>
      </c>
    </row>
    <row r="21" spans="7:9" ht="24" customHeight="1" x14ac:dyDescent="0.25">
      <c r="G21" s="219">
        <v>3</v>
      </c>
      <c r="H21" s="225" t="s">
        <v>39</v>
      </c>
      <c r="I21" s="226" t="s">
        <v>44</v>
      </c>
    </row>
    <row r="22" spans="7:9" ht="24.75" customHeight="1" x14ac:dyDescent="0.25">
      <c r="G22" s="218">
        <v>4</v>
      </c>
      <c r="H22" s="223" t="s">
        <v>40</v>
      </c>
      <c r="I22" s="224" t="s">
        <v>45</v>
      </c>
    </row>
    <row r="23" spans="7:9" ht="26.25" customHeight="1" thickBot="1" x14ac:dyDescent="0.3">
      <c r="G23" s="220">
        <v>5</v>
      </c>
      <c r="H23" s="227" t="s">
        <v>41</v>
      </c>
      <c r="I23" s="228" t="s">
        <v>46</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autoPageBreaks="0"/>
  </sheetPr>
  <dimension ref="A1:AC28"/>
  <sheetViews>
    <sheetView topLeftCell="E1" zoomScale="70" zoomScaleNormal="70" workbookViewId="0">
      <selection activeCell="J21" sqref="J21"/>
    </sheetView>
  </sheetViews>
  <sheetFormatPr baseColWidth="10" defaultColWidth="11.42578125" defaultRowHeight="12" x14ac:dyDescent="0.2"/>
  <cols>
    <col min="1" max="1" width="4.7109375" style="229" customWidth="1"/>
    <col min="2" max="2" width="21.7109375" style="229" customWidth="1"/>
    <col min="3" max="3" width="23.28515625" style="229" customWidth="1"/>
    <col min="4" max="4" width="21.7109375" style="229" hidden="1" customWidth="1"/>
    <col min="5" max="5" width="21.7109375" style="229" customWidth="1"/>
    <col min="6" max="8" width="6.7109375" style="229" customWidth="1"/>
    <col min="9" max="9" width="6.7109375" style="13" customWidth="1"/>
    <col min="10" max="10" width="25.14062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0.42578125" style="229" customWidth="1"/>
    <col min="21" max="21" width="16.7109375" style="229" customWidth="1"/>
    <col min="22" max="22" width="30.7109375" style="18" customWidth="1"/>
    <col min="23" max="24" width="36.7109375" style="229" hidden="1" customWidth="1"/>
    <col min="25" max="26" width="17.28515625" style="229" customWidth="1"/>
    <col min="27" max="16384" width="11.42578125" style="229"/>
  </cols>
  <sheetData>
    <row r="1" spans="1:29" ht="31.5" customHeight="1" x14ac:dyDescent="0.2">
      <c r="B1" s="555"/>
      <c r="C1" s="555"/>
      <c r="E1" s="556" t="s">
        <v>389</v>
      </c>
      <c r="F1" s="556"/>
      <c r="G1" s="556"/>
      <c r="H1" s="556"/>
      <c r="I1" s="556"/>
      <c r="J1" s="556"/>
      <c r="K1" s="556"/>
      <c r="L1" s="556"/>
      <c r="M1" s="556"/>
      <c r="N1" s="556"/>
      <c r="O1" s="556"/>
      <c r="P1" s="556"/>
      <c r="Q1" s="556"/>
      <c r="R1" s="556"/>
      <c r="S1" s="556"/>
      <c r="T1" s="556"/>
      <c r="U1" s="556"/>
      <c r="V1" s="324" t="s">
        <v>594</v>
      </c>
    </row>
    <row r="2" spans="1:29" ht="31.5" customHeight="1" x14ac:dyDescent="0.3">
      <c r="B2" s="555"/>
      <c r="C2" s="555"/>
      <c r="D2" s="314" t="s">
        <v>334</v>
      </c>
      <c r="E2" s="556"/>
      <c r="F2" s="556"/>
      <c r="G2" s="556"/>
      <c r="H2" s="556"/>
      <c r="I2" s="556"/>
      <c r="J2" s="556"/>
      <c r="K2" s="556"/>
      <c r="L2" s="556"/>
      <c r="M2" s="556"/>
      <c r="N2" s="556"/>
      <c r="O2" s="556"/>
      <c r="P2" s="556"/>
      <c r="Q2" s="556"/>
      <c r="R2" s="556"/>
      <c r="S2" s="556"/>
      <c r="T2" s="556"/>
      <c r="U2" s="556"/>
      <c r="V2" s="324" t="s">
        <v>595</v>
      </c>
    </row>
    <row r="3" spans="1:29" ht="31.5" customHeight="1" x14ac:dyDescent="0.3">
      <c r="B3" s="555"/>
      <c r="C3" s="555"/>
      <c r="D3" s="314" t="s">
        <v>16</v>
      </c>
      <c r="E3" s="556"/>
      <c r="F3" s="556"/>
      <c r="G3" s="556"/>
      <c r="H3" s="556"/>
      <c r="I3" s="556"/>
      <c r="J3" s="556"/>
      <c r="K3" s="556"/>
      <c r="L3" s="556"/>
      <c r="M3" s="556"/>
      <c r="N3" s="556"/>
      <c r="O3" s="556"/>
      <c r="P3" s="556"/>
      <c r="Q3" s="556"/>
      <c r="R3" s="556"/>
      <c r="S3" s="556"/>
      <c r="T3" s="556"/>
      <c r="U3" s="556"/>
      <c r="V3" s="324" t="s">
        <v>596</v>
      </c>
    </row>
    <row r="4" spans="1:29"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18"/>
    </row>
    <row r="5" spans="1:29" s="253" customFormat="1" ht="24" customHeight="1" x14ac:dyDescent="0.25">
      <c r="A5" s="252"/>
      <c r="B5" s="553" t="s">
        <v>0</v>
      </c>
      <c r="C5" s="554"/>
      <c r="D5" s="316" t="s">
        <v>335</v>
      </c>
      <c r="E5" s="557" t="s">
        <v>392</v>
      </c>
      <c r="F5" s="557"/>
      <c r="G5" s="557"/>
      <c r="H5" s="557"/>
      <c r="I5" s="557"/>
      <c r="J5" s="557"/>
      <c r="K5" s="557"/>
      <c r="L5" s="557"/>
      <c r="M5" s="557"/>
      <c r="N5" s="557"/>
      <c r="O5" s="558"/>
      <c r="P5" s="553" t="s">
        <v>25</v>
      </c>
      <c r="Q5" s="554"/>
      <c r="R5" s="316">
        <v>2020</v>
      </c>
      <c r="S5" s="317"/>
      <c r="T5" s="318"/>
    </row>
    <row r="6" spans="1:29" s="253" customFormat="1" ht="22.5" customHeight="1" x14ac:dyDescent="0.25">
      <c r="A6" s="252"/>
      <c r="B6" s="553" t="s">
        <v>1</v>
      </c>
      <c r="C6" s="554"/>
      <c r="D6" s="319"/>
      <c r="E6" s="559" t="s">
        <v>497</v>
      </c>
      <c r="F6" s="559"/>
      <c r="G6" s="559"/>
      <c r="H6" s="559"/>
      <c r="I6" s="559"/>
      <c r="J6" s="559"/>
      <c r="K6" s="559"/>
      <c r="L6" s="559"/>
      <c r="M6" s="559"/>
      <c r="N6" s="559"/>
      <c r="O6" s="559"/>
      <c r="P6" s="559"/>
      <c r="Q6" s="559"/>
      <c r="R6" s="559"/>
      <c r="S6" s="559"/>
      <c r="T6" s="560"/>
    </row>
    <row r="7" spans="1:29" s="253" customFormat="1" ht="15.75" thickBot="1" x14ac:dyDescent="0.3">
      <c r="A7" s="252"/>
      <c r="B7" s="255"/>
      <c r="C7" s="255"/>
      <c r="I7" s="254"/>
      <c r="J7" s="256"/>
      <c r="K7" s="256"/>
      <c r="P7" s="254"/>
      <c r="Q7" s="254"/>
      <c r="V7" s="254"/>
    </row>
    <row r="8" spans="1:29" s="258" customFormat="1" ht="30" customHeight="1" thickBot="1" x14ac:dyDescent="0.3">
      <c r="A8" s="257"/>
      <c r="B8" s="546" t="s">
        <v>2</v>
      </c>
      <c r="C8" s="546" t="s">
        <v>3</v>
      </c>
      <c r="D8" s="546" t="s">
        <v>4</v>
      </c>
      <c r="E8" s="546" t="s">
        <v>5</v>
      </c>
      <c r="F8" s="549" t="s">
        <v>28</v>
      </c>
      <c r="G8" s="546" t="s">
        <v>213</v>
      </c>
      <c r="H8" s="546"/>
      <c r="I8" s="547" t="s">
        <v>24</v>
      </c>
      <c r="J8" s="542" t="s">
        <v>11</v>
      </c>
      <c r="K8" s="544" t="s">
        <v>35</v>
      </c>
      <c r="L8" s="545"/>
      <c r="M8" s="562" t="s">
        <v>211</v>
      </c>
      <c r="N8" s="546" t="s">
        <v>214</v>
      </c>
      <c r="O8" s="546"/>
      <c r="P8" s="547" t="s">
        <v>24</v>
      </c>
      <c r="Q8" s="549" t="s">
        <v>10</v>
      </c>
      <c r="R8" s="546" t="s">
        <v>8</v>
      </c>
      <c r="S8" s="550" t="s">
        <v>17</v>
      </c>
      <c r="T8" s="546" t="s">
        <v>231</v>
      </c>
      <c r="U8" s="542" t="s">
        <v>215</v>
      </c>
      <c r="V8" s="546" t="s">
        <v>9</v>
      </c>
      <c r="W8" s="566" t="s">
        <v>224</v>
      </c>
      <c r="X8" s="566"/>
      <c r="Y8" s="551" t="s">
        <v>623</v>
      </c>
      <c r="Z8" s="552"/>
    </row>
    <row r="9" spans="1:29" s="258" customFormat="1" ht="51" customHeight="1" x14ac:dyDescent="0.25">
      <c r="A9" s="257"/>
      <c r="B9" s="546"/>
      <c r="C9" s="546"/>
      <c r="D9" s="546"/>
      <c r="E9" s="546"/>
      <c r="F9" s="549"/>
      <c r="G9" s="282" t="s">
        <v>6</v>
      </c>
      <c r="H9" s="259" t="s">
        <v>7</v>
      </c>
      <c r="I9" s="548"/>
      <c r="J9" s="543"/>
      <c r="K9" s="260" t="s">
        <v>229</v>
      </c>
      <c r="L9" s="261" t="s">
        <v>230</v>
      </c>
      <c r="M9" s="563"/>
      <c r="N9" s="262" t="s">
        <v>6</v>
      </c>
      <c r="O9" s="263" t="s">
        <v>7</v>
      </c>
      <c r="P9" s="548"/>
      <c r="Q9" s="549"/>
      <c r="R9" s="546"/>
      <c r="S9" s="550"/>
      <c r="T9" s="546"/>
      <c r="U9" s="543"/>
      <c r="V9" s="546"/>
      <c r="W9" s="247" t="s">
        <v>206</v>
      </c>
      <c r="X9" s="247" t="s">
        <v>207</v>
      </c>
      <c r="Y9" s="422" t="s">
        <v>658</v>
      </c>
      <c r="Z9" s="422" t="s">
        <v>659</v>
      </c>
    </row>
    <row r="10" spans="1:29" s="253" customFormat="1" ht="156.75" x14ac:dyDescent="0.25">
      <c r="A10" s="289">
        <v>1</v>
      </c>
      <c r="B10" s="265" t="s">
        <v>77</v>
      </c>
      <c r="C10" s="266" t="s">
        <v>251</v>
      </c>
      <c r="D10" s="265"/>
      <c r="E10" s="265" t="s">
        <v>71</v>
      </c>
      <c r="F10" s="284" t="s">
        <v>27</v>
      </c>
      <c r="G10" s="265">
        <v>3</v>
      </c>
      <c r="H10" s="265">
        <v>3</v>
      </c>
      <c r="I10" s="380" t="str">
        <f>INDEX([3]Listas!$L$4:$P$8,G10,H10)</f>
        <v>ALTA</v>
      </c>
      <c r="J10" s="269" t="s">
        <v>373</v>
      </c>
      <c r="K10" s="284" t="s">
        <v>228</v>
      </c>
      <c r="L10" s="285" t="str">
        <f>IF('[3]Evaluación de Controles'!F11="X","Probabilidad",IF('[3]Evaluación de Controles'!H11="X","Impacto",))</f>
        <v>Probabilidad</v>
      </c>
      <c r="M10" s="491">
        <v>85</v>
      </c>
      <c r="N10" s="265">
        <f>IF('[3]Evaluación de Controles'!F11="X",IF(M10&gt;75,IF(G10&gt;2,G10-2,IF(G10&gt;1,G10-1,G10)),IF(M10&gt;50,IF(G10&gt;1,G10-1,G10),G10)),G10)</f>
        <v>1</v>
      </c>
      <c r="O10" s="265">
        <f>IF('[3]Evaluación de Controles'!H11="X",IF(M10&gt;75,IF(H10&gt;2,H10-2,IF(H10&gt;1,H10-1,H10)),IF(M10&gt;50,IF(H10&gt;1,H10-1,H10),H10)),H10)</f>
        <v>3</v>
      </c>
      <c r="P10" s="380" t="str">
        <f>INDEX([3]Listas!$L$4:$P$8,N10,O10)</f>
        <v>MODERADA</v>
      </c>
      <c r="Q10" s="293" t="s">
        <v>237</v>
      </c>
      <c r="R10" s="265" t="s">
        <v>498</v>
      </c>
      <c r="S10" s="284" t="s">
        <v>65</v>
      </c>
      <c r="T10" s="265" t="s">
        <v>254</v>
      </c>
      <c r="U10" s="265" t="s">
        <v>256</v>
      </c>
      <c r="V10" s="265" t="s">
        <v>599</v>
      </c>
      <c r="W10" s="291"/>
      <c r="X10" s="291"/>
      <c r="Y10" s="390">
        <f>131/131</f>
        <v>1</v>
      </c>
      <c r="Z10" s="378">
        <f>88/88</f>
        <v>1</v>
      </c>
    </row>
    <row r="11" spans="1:29" s="253" customFormat="1" ht="173.25" customHeight="1" x14ac:dyDescent="0.25">
      <c r="A11" s="289">
        <v>2</v>
      </c>
      <c r="B11" s="265" t="s">
        <v>252</v>
      </c>
      <c r="C11" s="266" t="s">
        <v>499</v>
      </c>
      <c r="D11" s="265"/>
      <c r="E11" s="265" t="s">
        <v>253</v>
      </c>
      <c r="F11" s="284" t="s">
        <v>27</v>
      </c>
      <c r="G11" s="265">
        <v>5</v>
      </c>
      <c r="H11" s="265">
        <v>3</v>
      </c>
      <c r="I11" s="380" t="str">
        <f>INDEX([3]Listas!$L$4:$P$8,G11,H11)</f>
        <v>EXTREMA</v>
      </c>
      <c r="J11" s="269" t="s">
        <v>376</v>
      </c>
      <c r="K11" s="284" t="s">
        <v>227</v>
      </c>
      <c r="L11" s="285" t="str">
        <f>IF('[3]Evaluación de Controles'!F12="X","Probabilidad",IF('[3]Evaluación de Controles'!H12="X","Impacto",))</f>
        <v>Probabilidad</v>
      </c>
      <c r="M11" s="491">
        <v>85</v>
      </c>
      <c r="N11" s="265">
        <f>IF('[3]Evaluación de Controles'!F12="X",IF(M11&gt;75,IF(G11&gt;2,G11-2,IF(G11&gt;1,G11-1,G11)),IF(M11&gt;50,IF(G11&gt;1,G11-1,G11),G11)),G11)</f>
        <v>3</v>
      </c>
      <c r="O11" s="265">
        <f>IF('[3]Evaluación de Controles'!H12="X",IF(M11&gt;75,IF(H11&gt;2,H11-2,IF(H11&gt;1,H11-1,H11)),IF(M11&gt;50,IF(H11&gt;1,H11-1,H11),H11)),H11)</f>
        <v>1</v>
      </c>
      <c r="P11" s="380" t="str">
        <f>INDEX([3]Listas!$L$4:$P$8,N11,O11)</f>
        <v>BAJA</v>
      </c>
      <c r="Q11" s="293" t="s">
        <v>237</v>
      </c>
      <c r="R11" s="265" t="s">
        <v>500</v>
      </c>
      <c r="S11" s="284" t="s">
        <v>65</v>
      </c>
      <c r="T11" s="265" t="s">
        <v>375</v>
      </c>
      <c r="U11" s="265" t="s">
        <v>257</v>
      </c>
      <c r="V11" s="265" t="s">
        <v>374</v>
      </c>
      <c r="W11" s="291"/>
      <c r="X11" s="291"/>
      <c r="Y11" s="390">
        <f>131/131</f>
        <v>1</v>
      </c>
      <c r="Z11" s="390">
        <f>88/88</f>
        <v>1</v>
      </c>
      <c r="AB11" s="253">
        <v>12</v>
      </c>
      <c r="AC11" s="253">
        <v>60</v>
      </c>
    </row>
    <row r="12" spans="1:29" s="253" customFormat="1" ht="147.75" customHeight="1" x14ac:dyDescent="0.25">
      <c r="A12" s="289">
        <v>3</v>
      </c>
      <c r="B12" s="265" t="s">
        <v>377</v>
      </c>
      <c r="C12" s="266" t="s">
        <v>249</v>
      </c>
      <c r="D12" s="265"/>
      <c r="E12" s="265" t="s">
        <v>250</v>
      </c>
      <c r="F12" s="284" t="s">
        <v>15</v>
      </c>
      <c r="G12" s="265">
        <v>3</v>
      </c>
      <c r="H12" s="265">
        <v>4</v>
      </c>
      <c r="I12" s="380" t="str">
        <f>INDEX([3]Listas!$L$4:$P$8,G12,H12)</f>
        <v>EXTREMA</v>
      </c>
      <c r="J12" s="269" t="s">
        <v>372</v>
      </c>
      <c r="K12" s="284" t="s">
        <v>228</v>
      </c>
      <c r="L12" s="285" t="str">
        <f>IF('[3]Evaluación de Controles'!F13="X","Probabilidad",IF('[3]Evaluación de Controles'!H13="X","Impacto",))</f>
        <v>Probabilidad</v>
      </c>
      <c r="M12" s="491">
        <f>+'[3]Evaluación de Controles'!X13</f>
        <v>85</v>
      </c>
      <c r="N12" s="265">
        <f>IF('[3]Evaluación de Controles'!F13="X",IF(M12&gt;75,IF(G12&gt;2,G12-2,IF(G12&gt;1,G12-1,G12)),IF(M12&gt;50,IF(G12&gt;1,G12-1,G12),G12)),G12)</f>
        <v>1</v>
      </c>
      <c r="O12" s="265">
        <f>IF('[3]Evaluación de Controles'!H13="X",IF(M12&gt;75,IF(H12&gt;2,H12-2,IF(H12&gt;1,H12-1,H12)),IF(M12&gt;50,IF(H12&gt;1,H12-1,H12),H12)),H12)</f>
        <v>4</v>
      </c>
      <c r="P12" s="380" t="str">
        <f>INDEX([3]Listas!$L$4:$P$8,N12,O12)</f>
        <v>ALTA</v>
      </c>
      <c r="Q12" s="293" t="s">
        <v>237</v>
      </c>
      <c r="R12" s="265" t="s">
        <v>378</v>
      </c>
      <c r="S12" s="284" t="s">
        <v>235</v>
      </c>
      <c r="T12" s="265" t="s">
        <v>254</v>
      </c>
      <c r="U12" s="265" t="s">
        <v>255</v>
      </c>
      <c r="V12" s="265" t="s">
        <v>379</v>
      </c>
      <c r="W12" s="291"/>
      <c r="X12" s="291"/>
      <c r="Y12" s="390">
        <v>1</v>
      </c>
      <c r="Z12" s="409">
        <v>1</v>
      </c>
    </row>
    <row r="13" spans="1:29" s="253" customFormat="1" ht="175.5" customHeight="1" x14ac:dyDescent="0.25">
      <c r="A13" s="289">
        <v>4</v>
      </c>
      <c r="B13" s="323" t="s">
        <v>366</v>
      </c>
      <c r="C13" s="336" t="s">
        <v>364</v>
      </c>
      <c r="D13" s="323"/>
      <c r="E13" s="323" t="s">
        <v>365</v>
      </c>
      <c r="F13" s="414" t="s">
        <v>27</v>
      </c>
      <c r="G13" s="392">
        <v>3</v>
      </c>
      <c r="H13" s="392">
        <v>3</v>
      </c>
      <c r="I13" s="393" t="str">
        <f>INDEX([3]Listas!$L$4:$P$8,G13,H13)</f>
        <v>ALTA</v>
      </c>
      <c r="J13" s="493" t="s">
        <v>380</v>
      </c>
      <c r="K13" s="494" t="s">
        <v>228</v>
      </c>
      <c r="L13" s="394" t="str">
        <f>IF('[3]Evaluación de Controles'!F14="X","Probabilidad",IF('[3]Evaluación de Controles'!H14="X","Impacto",))</f>
        <v>Probabilidad</v>
      </c>
      <c r="M13" s="449">
        <v>45</v>
      </c>
      <c r="N13" s="392">
        <f>IF('[3]Evaluación de Controles'!F14="X",IF(M13&gt;75,IF(G13&gt;2,G13-2,IF(G13&gt;1,G13-1,G13)),IF(M13&gt;50,IF(G13&gt;1,G13-1,G13),G13)),G13)</f>
        <v>3</v>
      </c>
      <c r="O13" s="392">
        <f>IF('[3]Evaluación de Controles'!H14="X",IF(M13&gt;75,IF(H13&gt;2,H13-2,IF(H13&gt;1,H13-1,H13)),IF(M13&gt;50,IF(H13&gt;1,H13-1,H13),H13)),H13)</f>
        <v>3</v>
      </c>
      <c r="P13" s="393" t="str">
        <f>INDEX([3]Listas!$L$4:$P$8,N13,O13)</f>
        <v>ALTA</v>
      </c>
      <c r="Q13" s="414" t="s">
        <v>237</v>
      </c>
      <c r="R13" s="323" t="s">
        <v>368</v>
      </c>
      <c r="S13" s="414" t="s">
        <v>367</v>
      </c>
      <c r="T13" s="323" t="s">
        <v>369</v>
      </c>
      <c r="U13" s="323" t="s">
        <v>370</v>
      </c>
      <c r="V13" s="323" t="s">
        <v>371</v>
      </c>
      <c r="W13" s="415"/>
      <c r="X13" s="415"/>
      <c r="Y13" s="507">
        <f>7/7</f>
        <v>1</v>
      </c>
      <c r="Z13" s="531">
        <f>2/2</f>
        <v>1</v>
      </c>
    </row>
    <row r="14" spans="1:29" s="253" customFormat="1" ht="154.5" customHeight="1" x14ac:dyDescent="0.25">
      <c r="A14" s="289">
        <v>5</v>
      </c>
      <c r="B14" s="265" t="s">
        <v>246</v>
      </c>
      <c r="C14" s="266" t="s">
        <v>601</v>
      </c>
      <c r="D14" s="265"/>
      <c r="E14" s="265" t="s">
        <v>67</v>
      </c>
      <c r="F14" s="267" t="s">
        <v>27</v>
      </c>
      <c r="G14" s="265">
        <v>3</v>
      </c>
      <c r="H14" s="265">
        <v>5</v>
      </c>
      <c r="I14" s="380" t="str">
        <f>INDEX([3]Listas!$L$4:$P$8,G14,H14)</f>
        <v>EXTREMA</v>
      </c>
      <c r="J14" s="269" t="s">
        <v>600</v>
      </c>
      <c r="K14" s="270" t="s">
        <v>228</v>
      </c>
      <c r="L14" s="285" t="str">
        <f>IF('[3]Evaluación de Controles'!F15="X","Probabilidad",IF('[3]Evaluación de Controles'!H15="X","Impacto",))</f>
        <v>Probabilidad</v>
      </c>
      <c r="M14" s="491">
        <v>85</v>
      </c>
      <c r="N14" s="265">
        <f>IF('[3]Evaluación de Controles'!F15="X",IF(M14&gt;75,IF(G14&gt;2,G14-2,IF(G14&gt;1,G14-1,G14)),IF(M14&gt;50,IF(G14&gt;1,G14-1,G14),G14)),G14)</f>
        <v>1</v>
      </c>
      <c r="O14" s="265">
        <f>IF('[3]Evaluación de Controles'!H15="X",IF(M14&gt;75,IF(H14&gt;2,H14-2,IF(H14&gt;1,H14-1,H14)),IF(M14&gt;50,IF(H14&gt;1,H14-1,H14),H14)),H14)</f>
        <v>5</v>
      </c>
      <c r="P14" s="380" t="str">
        <f>INDEX([3]Listas!$L$4:$P$8,N14,O14)</f>
        <v>ALTA</v>
      </c>
      <c r="Q14" s="290" t="s">
        <v>237</v>
      </c>
      <c r="R14" s="265" t="s">
        <v>381</v>
      </c>
      <c r="S14" s="267" t="s">
        <v>18</v>
      </c>
      <c r="T14" s="265" t="s">
        <v>247</v>
      </c>
      <c r="U14" s="265" t="s">
        <v>248</v>
      </c>
      <c r="V14" s="265" t="s">
        <v>602</v>
      </c>
      <c r="W14" s="291"/>
      <c r="X14" s="291"/>
      <c r="Y14" s="391">
        <f>14/14</f>
        <v>1</v>
      </c>
      <c r="Z14" s="378">
        <f>15/15</f>
        <v>1</v>
      </c>
    </row>
    <row r="15" spans="1:29" ht="14.25" x14ac:dyDescent="0.2">
      <c r="B15" s="6"/>
      <c r="C15" s="7"/>
      <c r="D15" s="292"/>
      <c r="E15" s="9"/>
      <c r="F15" s="9"/>
      <c r="G15" s="9"/>
      <c r="H15" s="9"/>
      <c r="I15" s="10"/>
      <c r="J15" s="19"/>
      <c r="K15" s="19"/>
      <c r="L15" s="9"/>
      <c r="M15" s="11"/>
      <c r="Y15" s="423"/>
    </row>
    <row r="16" spans="1:29" x14ac:dyDescent="0.2">
      <c r="B16" s="12"/>
      <c r="C16" s="12"/>
      <c r="D16" s="12"/>
      <c r="E16" s="12"/>
      <c r="F16" s="12"/>
      <c r="G16" s="541" t="s">
        <v>97</v>
      </c>
      <c r="H16" s="541"/>
      <c r="I16" s="36">
        <f>COUNTIF(I10:I14,"BAJA")</f>
        <v>0</v>
      </c>
      <c r="J16" s="19"/>
      <c r="K16" s="19"/>
      <c r="L16" s="9"/>
      <c r="M16" s="11"/>
      <c r="N16" s="541" t="s">
        <v>97</v>
      </c>
      <c r="O16" s="541"/>
      <c r="P16" s="36">
        <f>COUNTIF(P10:P14,"BAJA")</f>
        <v>1</v>
      </c>
      <c r="Y16" s="410"/>
    </row>
    <row r="17" spans="2:22" ht="12" customHeight="1" x14ac:dyDescent="0.2">
      <c r="B17" s="571"/>
      <c r="C17" s="571"/>
      <c r="D17" s="571"/>
      <c r="E17" s="571"/>
      <c r="F17" s="572"/>
      <c r="G17" s="569" t="s">
        <v>99</v>
      </c>
      <c r="H17" s="570"/>
      <c r="I17" s="36">
        <f>COUNTIF(I10:I14,"MODERADA")</f>
        <v>0</v>
      </c>
      <c r="J17" s="19"/>
      <c r="K17" s="19"/>
      <c r="L17" s="9"/>
      <c r="M17" s="12"/>
      <c r="N17" s="569" t="s">
        <v>99</v>
      </c>
      <c r="O17" s="570"/>
      <c r="P17" s="36">
        <f>COUNTIF(P10:P14,"MODERADA")</f>
        <v>1</v>
      </c>
    </row>
    <row r="18" spans="2:22" x14ac:dyDescent="0.2">
      <c r="B18" s="9"/>
      <c r="D18" s="9"/>
      <c r="E18" s="9"/>
      <c r="F18" s="9"/>
      <c r="G18" s="569" t="s">
        <v>98</v>
      </c>
      <c r="H18" s="570"/>
      <c r="I18" s="36">
        <f>COUNTIF(I10:I14,"ALTA")</f>
        <v>2</v>
      </c>
      <c r="J18" s="19"/>
      <c r="K18" s="19"/>
      <c r="L18" s="9"/>
      <c r="M18" s="9"/>
      <c r="N18" s="569" t="s">
        <v>98</v>
      </c>
      <c r="O18" s="570"/>
      <c r="P18" s="36">
        <f>COUNTIF(P10:P14,"ALTA")</f>
        <v>3</v>
      </c>
      <c r="Q18" s="229"/>
      <c r="V18" s="229"/>
    </row>
    <row r="19" spans="2:22" ht="15.75" x14ac:dyDescent="0.2">
      <c r="B19" s="341"/>
      <c r="D19" s="9"/>
      <c r="E19" s="340"/>
      <c r="F19" s="9"/>
      <c r="G19" s="569" t="s">
        <v>100</v>
      </c>
      <c r="H19" s="570"/>
      <c r="I19" s="36">
        <f>COUNTIF(I10:I14,"EXTREMA")</f>
        <v>3</v>
      </c>
      <c r="J19" s="19"/>
      <c r="K19" s="19"/>
      <c r="L19" s="9"/>
      <c r="M19" s="9"/>
      <c r="N19" s="569" t="s">
        <v>100</v>
      </c>
      <c r="O19" s="570"/>
      <c r="P19" s="36">
        <f>COUNTIF(P10:P14,"EXTREMA")</f>
        <v>0</v>
      </c>
      <c r="Q19" s="229"/>
      <c r="V19" s="229"/>
    </row>
    <row r="20" spans="2:22" x14ac:dyDescent="0.2">
      <c r="D20" s="9"/>
      <c r="E20" s="9"/>
      <c r="G20" s="9"/>
      <c r="H20" s="9"/>
      <c r="I20" s="10"/>
      <c r="J20" s="19"/>
      <c r="K20" s="19"/>
      <c r="L20" s="9"/>
      <c r="M20" s="9" t="s">
        <v>21</v>
      </c>
      <c r="P20" s="229"/>
      <c r="Q20" s="229"/>
      <c r="V20" s="229"/>
    </row>
    <row r="21" spans="2:22" x14ac:dyDescent="0.2">
      <c r="D21" s="9"/>
      <c r="I21" s="229"/>
      <c r="J21" s="229"/>
      <c r="K21" s="229"/>
      <c r="P21" s="229"/>
      <c r="Q21" s="229"/>
      <c r="V21" s="229"/>
    </row>
    <row r="22" spans="2:22" x14ac:dyDescent="0.2">
      <c r="D22" s="9"/>
      <c r="I22" s="229"/>
      <c r="J22" s="229"/>
      <c r="K22" s="229"/>
      <c r="P22" s="229"/>
      <c r="Q22" s="229"/>
      <c r="V22" s="229"/>
    </row>
    <row r="23" spans="2:22" ht="15" x14ac:dyDescent="0.2">
      <c r="B23" s="231"/>
      <c r="C23" s="360"/>
      <c r="D23" s="172"/>
      <c r="E23" s="233"/>
      <c r="F23" s="233"/>
      <c r="G23" s="233"/>
      <c r="I23" s="229"/>
      <c r="J23" s="229"/>
      <c r="K23" s="229"/>
      <c r="P23" s="229"/>
      <c r="Q23" s="229"/>
      <c r="V23" s="229"/>
    </row>
    <row r="24" spans="2:22" ht="15" x14ac:dyDescent="0.2">
      <c r="B24" s="363" t="s">
        <v>712</v>
      </c>
      <c r="C24" s="366"/>
      <c r="D24" s="364"/>
      <c r="E24" s="365" t="s">
        <v>654</v>
      </c>
      <c r="F24" s="365"/>
      <c r="G24" s="365"/>
      <c r="I24" s="229"/>
      <c r="J24" s="229"/>
      <c r="K24" s="229"/>
      <c r="P24" s="229"/>
      <c r="Q24" s="229"/>
      <c r="V24" s="229"/>
    </row>
    <row r="25" spans="2:22" ht="15" x14ac:dyDescent="0.2">
      <c r="B25" s="232" t="s">
        <v>244</v>
      </c>
      <c r="C25" s="171"/>
      <c r="D25" s="172"/>
      <c r="E25" s="232" t="s">
        <v>245</v>
      </c>
      <c r="F25" s="171"/>
      <c r="G25" s="14"/>
      <c r="I25" s="229"/>
      <c r="J25" s="229"/>
      <c r="K25" s="229"/>
      <c r="P25" s="229"/>
      <c r="Q25" s="229"/>
      <c r="V25" s="229"/>
    </row>
    <row r="26" spans="2:22" x14ac:dyDescent="0.2">
      <c r="D26" s="9"/>
      <c r="I26" s="229"/>
      <c r="J26" s="229"/>
      <c r="K26" s="229"/>
      <c r="P26" s="229"/>
      <c r="Q26" s="229"/>
      <c r="V26" s="229"/>
    </row>
    <row r="27" spans="2:22" x14ac:dyDescent="0.2">
      <c r="D27" s="9"/>
      <c r="I27" s="229"/>
      <c r="J27" s="229"/>
      <c r="K27" s="229"/>
      <c r="P27" s="229"/>
      <c r="Q27" s="229"/>
      <c r="V27" s="229"/>
    </row>
    <row r="28" spans="2:22" x14ac:dyDescent="0.2">
      <c r="D28" s="9"/>
      <c r="I28" s="229"/>
      <c r="J28" s="229"/>
      <c r="K28" s="229"/>
      <c r="P28" s="229"/>
      <c r="Q28" s="229"/>
      <c r="V28" s="229"/>
    </row>
  </sheetData>
  <customSheetViews>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8"/>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1"/>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2"/>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3"/>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5"/>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6"/>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Y8:Z8"/>
    <mergeCell ref="E6:T6"/>
    <mergeCell ref="B1:C3"/>
    <mergeCell ref="E1:U3"/>
    <mergeCell ref="B5:C5"/>
    <mergeCell ref="E5:O5"/>
    <mergeCell ref="P5:Q5"/>
    <mergeCell ref="B6:C6"/>
    <mergeCell ref="W8:X8"/>
    <mergeCell ref="N8:O8"/>
    <mergeCell ref="P8:P9"/>
    <mergeCell ref="Q8:Q9"/>
    <mergeCell ref="R8:R9"/>
    <mergeCell ref="U8:U9"/>
    <mergeCell ref="V8:V9"/>
    <mergeCell ref="B8:B9"/>
    <mergeCell ref="G17:H17"/>
    <mergeCell ref="B17:F17"/>
    <mergeCell ref="G18:H18"/>
    <mergeCell ref="G19:H19"/>
    <mergeCell ref="N16:O16"/>
    <mergeCell ref="N17:O17"/>
    <mergeCell ref="N18:O18"/>
    <mergeCell ref="N19:O19"/>
    <mergeCell ref="G16:H16"/>
    <mergeCell ref="C8:C9"/>
    <mergeCell ref="D8:D9"/>
    <mergeCell ref="E8:E9"/>
    <mergeCell ref="F8:F9"/>
    <mergeCell ref="G8:H8"/>
    <mergeCell ref="I8:I9"/>
    <mergeCell ref="J8:J9"/>
    <mergeCell ref="S8:S9"/>
    <mergeCell ref="T8:T9"/>
    <mergeCell ref="K8:L8"/>
    <mergeCell ref="M8:M9"/>
  </mergeCells>
  <conditionalFormatting sqref="I7 P7 I15:I1048576 P15:P1048576">
    <cfRule type="cellIs" dxfId="706" priority="117" operator="equal">
      <formula>"BAJA"</formula>
    </cfRule>
  </conditionalFormatting>
  <conditionalFormatting sqref="I7 P7 I15:I1048576 P15:P1048576">
    <cfRule type="cellIs" dxfId="705" priority="114" operator="equal">
      <formula>"EXTREMA"</formula>
    </cfRule>
    <cfRule type="cellIs" dxfId="704" priority="115" operator="equal">
      <formula>"ALTA"</formula>
    </cfRule>
    <cfRule type="cellIs" dxfId="703" priority="116" operator="equal">
      <formula>"MODERADA"</formula>
    </cfRule>
  </conditionalFormatting>
  <conditionalFormatting sqref="F7:G7 F15:G22 N7:O7 N15:O1048576 F26:G1048576">
    <cfRule type="colorScale" priority="113">
      <colorScale>
        <cfvo type="num" val="1"/>
        <cfvo type="num" val="3"/>
        <cfvo type="num" val="5"/>
        <color theme="6" tint="-0.499984740745262"/>
        <color rgb="FFFFFF00"/>
        <color rgb="FFC00000"/>
      </colorScale>
    </cfRule>
  </conditionalFormatting>
  <conditionalFormatting sqref="G8:H9 N8:O9">
    <cfRule type="colorScale" priority="71">
      <colorScale>
        <cfvo type="num" val="1"/>
        <cfvo type="num" val="3"/>
        <cfvo type="num" val="5"/>
        <color theme="6" tint="-0.499984740745262"/>
        <color rgb="FFFFFF00"/>
        <color rgb="FFC00000"/>
      </colorScale>
    </cfRule>
  </conditionalFormatting>
  <conditionalFormatting sqref="I8:I9 P8:P9">
    <cfRule type="cellIs" dxfId="702" priority="75" operator="equal">
      <formula>"BAJA"</formula>
    </cfRule>
  </conditionalFormatting>
  <conditionalFormatting sqref="I8:I9 P8:P9">
    <cfRule type="cellIs" dxfId="701" priority="72" operator="equal">
      <formula>"EXTREMA"</formula>
    </cfRule>
    <cfRule type="cellIs" dxfId="700" priority="73" operator="equal">
      <formula>"ALTA"</formula>
    </cfRule>
    <cfRule type="cellIs" dxfId="699" priority="74" operator="equal">
      <formula>"MODERADA"</formula>
    </cfRule>
  </conditionalFormatting>
  <conditionalFormatting sqref="I14">
    <cfRule type="cellIs" dxfId="698" priority="25" operator="equal">
      <formula>"EXTREMA"</formula>
    </cfRule>
    <cfRule type="cellIs" dxfId="697" priority="26" operator="equal">
      <formula>"ALTA"</formula>
    </cfRule>
    <cfRule type="cellIs" dxfId="696" priority="27" operator="equal">
      <formula>"MODERADA"</formula>
    </cfRule>
    <cfRule type="cellIs" dxfId="695" priority="28" operator="equal">
      <formula>"BAJA"</formula>
    </cfRule>
  </conditionalFormatting>
  <conditionalFormatting sqref="F4:G4 N4:O4">
    <cfRule type="colorScale" priority="40">
      <colorScale>
        <cfvo type="num" val="1"/>
        <cfvo type="num" val="3"/>
        <cfvo type="num" val="5"/>
        <color theme="6" tint="-0.499984740745262"/>
        <color rgb="FFFFFF00"/>
        <color rgb="FFC00000"/>
      </colorScale>
    </cfRule>
  </conditionalFormatting>
  <conditionalFormatting sqref="G13:H13">
    <cfRule type="colorScale" priority="38">
      <colorScale>
        <cfvo type="num" val="1"/>
        <cfvo type="num" val="3"/>
        <cfvo type="num" val="5"/>
        <color theme="6" tint="-0.499984740745262"/>
        <color rgb="FFFFFF00"/>
        <color rgb="FFC00000"/>
      </colorScale>
    </cfRule>
  </conditionalFormatting>
  <conditionalFormatting sqref="I13">
    <cfRule type="cellIs" dxfId="694" priority="34" operator="equal">
      <formula>"EXTREMA"</formula>
    </cfRule>
    <cfRule type="cellIs" dxfId="693" priority="35" operator="equal">
      <formula>"ALTA"</formula>
    </cfRule>
    <cfRule type="cellIs" dxfId="692" priority="36" operator="equal">
      <formula>"MODERADA"</formula>
    </cfRule>
    <cfRule type="cellIs" dxfId="691" priority="37" operator="equal">
      <formula>"BAJA"</formula>
    </cfRule>
  </conditionalFormatting>
  <conditionalFormatting sqref="P13">
    <cfRule type="cellIs" dxfId="690" priority="30" operator="equal">
      <formula>"EXTREMA"</formula>
    </cfRule>
    <cfRule type="cellIs" dxfId="689" priority="31" operator="equal">
      <formula>"ALTA"</formula>
    </cfRule>
    <cfRule type="cellIs" dxfId="688" priority="32" operator="equal">
      <formula>"MODERADA"</formula>
    </cfRule>
    <cfRule type="cellIs" dxfId="687" priority="33" operator="equal">
      <formula>"BAJA"</formula>
    </cfRule>
  </conditionalFormatting>
  <conditionalFormatting sqref="G14:H14">
    <cfRule type="colorScale" priority="29">
      <colorScale>
        <cfvo type="num" val="1"/>
        <cfvo type="num" val="3"/>
        <cfvo type="num" val="5"/>
        <color theme="6" tint="-0.499984740745262"/>
        <color rgb="FFFFFF00"/>
        <color rgb="FFC00000"/>
      </colorScale>
    </cfRule>
  </conditionalFormatting>
  <conditionalFormatting sqref="P14">
    <cfRule type="cellIs" dxfId="686" priority="21" operator="equal">
      <formula>"EXTREMA"</formula>
    </cfRule>
    <cfRule type="cellIs" dxfId="685" priority="22" operator="equal">
      <formula>"ALTA"</formula>
    </cfRule>
    <cfRule type="cellIs" dxfId="684" priority="23" operator="equal">
      <formula>"MODERADA"</formula>
    </cfRule>
    <cfRule type="cellIs" dxfId="683" priority="24" operator="equal">
      <formula>"BAJA"</formula>
    </cfRule>
  </conditionalFormatting>
  <conditionalFormatting sqref="G10:H11">
    <cfRule type="colorScale" priority="20">
      <colorScale>
        <cfvo type="num" val="1"/>
        <cfvo type="num" val="3"/>
        <cfvo type="num" val="5"/>
        <color theme="6" tint="-0.499984740745262"/>
        <color rgb="FFFFFF00"/>
        <color rgb="FFC00000"/>
      </colorScale>
    </cfRule>
  </conditionalFormatting>
  <conditionalFormatting sqref="I10:I11">
    <cfRule type="cellIs" dxfId="682" priority="16" operator="equal">
      <formula>"EXTREMA"</formula>
    </cfRule>
    <cfRule type="cellIs" dxfId="681" priority="17" operator="equal">
      <formula>"ALTA"</formula>
    </cfRule>
    <cfRule type="cellIs" dxfId="680" priority="18" operator="equal">
      <formula>"MODERADA"</formula>
    </cfRule>
    <cfRule type="cellIs" dxfId="679" priority="19" operator="equal">
      <formula>"BAJA"</formula>
    </cfRule>
  </conditionalFormatting>
  <conditionalFormatting sqref="P10:P11">
    <cfRule type="cellIs" dxfId="678" priority="12" operator="equal">
      <formula>"EXTREMA"</formula>
    </cfRule>
    <cfRule type="cellIs" dxfId="677" priority="13" operator="equal">
      <formula>"ALTA"</formula>
    </cfRule>
    <cfRule type="cellIs" dxfId="676" priority="14" operator="equal">
      <formula>"MODERADA"</formula>
    </cfRule>
    <cfRule type="cellIs" dxfId="675" priority="15" operator="equal">
      <formula>"BAJA"</formula>
    </cfRule>
  </conditionalFormatting>
  <conditionalFormatting sqref="N10:O14">
    <cfRule type="colorScale" priority="11">
      <colorScale>
        <cfvo type="num" val="1"/>
        <cfvo type="num" val="3"/>
        <cfvo type="num" val="5"/>
        <color theme="6" tint="-0.499984740745262"/>
        <color rgb="FFFFFF00"/>
        <color rgb="FFC00000"/>
      </colorScale>
    </cfRule>
  </conditionalFormatting>
  <conditionalFormatting sqref="G12:H12">
    <cfRule type="colorScale" priority="10">
      <colorScale>
        <cfvo type="num" val="1"/>
        <cfvo type="num" val="3"/>
        <cfvo type="num" val="5"/>
        <color theme="6" tint="-0.499984740745262"/>
        <color rgb="FFFFFF00"/>
        <color rgb="FFC00000"/>
      </colorScale>
    </cfRule>
  </conditionalFormatting>
  <conditionalFormatting sqref="I12">
    <cfRule type="cellIs" dxfId="674" priority="6" operator="equal">
      <formula>"EXTREMA"</formula>
    </cfRule>
    <cfRule type="cellIs" dxfId="673" priority="7" operator="equal">
      <formula>"ALTA"</formula>
    </cfRule>
    <cfRule type="cellIs" dxfId="672" priority="8" operator="equal">
      <formula>"MODERADA"</formula>
    </cfRule>
    <cfRule type="cellIs" dxfId="671" priority="9" operator="equal">
      <formula>"BAJA"</formula>
    </cfRule>
  </conditionalFormatting>
  <conditionalFormatting sqref="P12">
    <cfRule type="cellIs" dxfId="670" priority="2" operator="equal">
      <formula>"EXTREMA"</formula>
    </cfRule>
    <cfRule type="cellIs" dxfId="669" priority="3" operator="equal">
      <formula>"ALTA"</formula>
    </cfRule>
    <cfRule type="cellIs" dxfId="668" priority="4" operator="equal">
      <formula>"MODERADA"</formula>
    </cfRule>
    <cfRule type="cellIs" dxfId="667" priority="5" operator="equal">
      <formula>"BAJA"</formula>
    </cfRule>
  </conditionalFormatting>
  <conditionalFormatting sqref="F23:G25">
    <cfRule type="colorScale" priority="1">
      <colorScale>
        <cfvo type="num" val="1"/>
        <cfvo type="num" val="3"/>
        <cfvo type="num" val="5"/>
        <color theme="6" tint="-0.499984740745262"/>
        <color rgb="FFFFFF00"/>
        <color rgb="FFC00000"/>
      </colorScale>
    </cfRule>
  </conditionalFormatting>
  <printOptions horizontalCentered="1"/>
  <pageMargins left="0.77" right="0.19685039370078741" top="0.87" bottom="0.49" header="0.31496062992125984" footer="0.23622047244094491"/>
  <pageSetup paperSize="5" scale="9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200-000000000000}">
          <x14:formula1>
            <xm:f>'/Volumes/GoogleDrive/Mi unidad/COVID REPS/FEBRERO 2021/04 FEBRERO/E:\PLANEACIÓN HRQV\MAPA DE RIESGOS\EVALUACIÓN I SEMESTRE\SEGUIMIENTO MAPA DE RIESGOS\JURÍDICA\[Mapa de Riesgos  seguimiento primer semestre I  2019 JURÍDICA.xlsx]Listas'!#REF!</xm:f>
          </x14:formula1>
          <xm:sqref>K10:K14</xm:sqref>
        </x14:dataValidation>
        <x14:dataValidation type="list" showInputMessage="1" showErrorMessage="1" xr:uid="{00000000-0002-0000-0200-000001000000}">
          <x14:formula1>
            <xm:f>'/Volumes/GoogleDrive/Mi unidad/COVID REPS/FEBRERO 2021/04 FEBRERO/E:\PLANEACIÓN HRQV\MAPA DE RIESGOS\EVALUACIÓN I SEMESTRE\SEGUIMIENTO MAPA DE RIESGOS\JURÍDICA\[Mapa de Riesgos  seguimiento primer semestre I  2019 JURÍDICA.xlsx]Listas'!#REF!</xm:f>
          </x14:formula1>
          <xm:sqref>F10:F14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autoPageBreaks="0"/>
  </sheetPr>
  <dimension ref="A1:AB22"/>
  <sheetViews>
    <sheetView topLeftCell="E1" zoomScale="70" zoomScaleNormal="70" workbookViewId="0">
      <selection activeCell="M10" sqref="M10:M11"/>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1.710937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18.7109375" style="229" customWidth="1"/>
    <col min="21" max="21" width="16.7109375" style="229" customWidth="1"/>
    <col min="22" max="22" width="28.140625" style="18" customWidth="1"/>
    <col min="23" max="24" width="36.7109375" style="229" hidden="1" customWidth="1"/>
    <col min="25" max="25" width="18.28515625" style="229" customWidth="1"/>
    <col min="26" max="26" width="15.42578125" style="229" customWidth="1"/>
    <col min="27" max="16384" width="11.42578125" style="229"/>
  </cols>
  <sheetData>
    <row r="1" spans="1:28" ht="30" customHeight="1" x14ac:dyDescent="0.2">
      <c r="B1" s="555"/>
      <c r="C1" s="555"/>
      <c r="E1" s="556" t="s">
        <v>389</v>
      </c>
      <c r="F1" s="556"/>
      <c r="G1" s="556"/>
      <c r="H1" s="556"/>
      <c r="I1" s="556"/>
      <c r="J1" s="556"/>
      <c r="K1" s="556"/>
      <c r="L1" s="556"/>
      <c r="M1" s="556"/>
      <c r="N1" s="556"/>
      <c r="O1" s="556"/>
      <c r="P1" s="556"/>
      <c r="Q1" s="556"/>
      <c r="R1" s="556"/>
      <c r="S1" s="556"/>
      <c r="T1" s="556"/>
      <c r="U1" s="556"/>
      <c r="V1" s="324" t="s">
        <v>594</v>
      </c>
    </row>
    <row r="2" spans="1:28" ht="30" customHeight="1" x14ac:dyDescent="0.3">
      <c r="B2" s="555"/>
      <c r="C2" s="555"/>
      <c r="D2" s="314" t="s">
        <v>334</v>
      </c>
      <c r="E2" s="556"/>
      <c r="F2" s="556"/>
      <c r="G2" s="556"/>
      <c r="H2" s="556"/>
      <c r="I2" s="556"/>
      <c r="J2" s="556"/>
      <c r="K2" s="556"/>
      <c r="L2" s="556"/>
      <c r="M2" s="556"/>
      <c r="N2" s="556"/>
      <c r="O2" s="556"/>
      <c r="P2" s="556"/>
      <c r="Q2" s="556"/>
      <c r="R2" s="556"/>
      <c r="S2" s="556"/>
      <c r="T2" s="556"/>
      <c r="U2" s="556"/>
      <c r="V2" s="324" t="s">
        <v>595</v>
      </c>
    </row>
    <row r="3" spans="1:28" ht="30" customHeight="1" x14ac:dyDescent="0.3">
      <c r="B3" s="555"/>
      <c r="C3" s="555"/>
      <c r="D3" s="314" t="s">
        <v>16</v>
      </c>
      <c r="E3" s="556"/>
      <c r="F3" s="556"/>
      <c r="G3" s="556"/>
      <c r="H3" s="556"/>
      <c r="I3" s="556"/>
      <c r="J3" s="556"/>
      <c r="K3" s="556"/>
      <c r="L3" s="556"/>
      <c r="M3" s="556"/>
      <c r="N3" s="556"/>
      <c r="O3" s="556"/>
      <c r="P3" s="556"/>
      <c r="Q3" s="556"/>
      <c r="R3" s="556"/>
      <c r="S3" s="556"/>
      <c r="T3" s="556"/>
      <c r="U3" s="556"/>
      <c r="V3" s="324" t="s">
        <v>596</v>
      </c>
    </row>
    <row r="4" spans="1:28"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18"/>
    </row>
    <row r="5" spans="1:28" s="253" customFormat="1" ht="24" customHeight="1" x14ac:dyDescent="0.25">
      <c r="A5" s="252"/>
      <c r="B5" s="553" t="s">
        <v>0</v>
      </c>
      <c r="C5" s="554"/>
      <c r="D5" s="316" t="s">
        <v>335</v>
      </c>
      <c r="E5" s="557" t="s">
        <v>336</v>
      </c>
      <c r="F5" s="557"/>
      <c r="G5" s="557"/>
      <c r="H5" s="557"/>
      <c r="I5" s="557"/>
      <c r="J5" s="557"/>
      <c r="K5" s="557"/>
      <c r="L5" s="557"/>
      <c r="M5" s="557"/>
      <c r="N5" s="557"/>
      <c r="O5" s="558"/>
      <c r="P5" s="553" t="s">
        <v>25</v>
      </c>
      <c r="Q5" s="554"/>
      <c r="R5" s="316">
        <v>2020</v>
      </c>
      <c r="S5" s="317"/>
      <c r="T5" s="318"/>
    </row>
    <row r="6" spans="1:28" s="253" customFormat="1" ht="34.5" customHeight="1" x14ac:dyDescent="0.25">
      <c r="A6" s="252"/>
      <c r="B6" s="553" t="s">
        <v>1</v>
      </c>
      <c r="C6" s="554"/>
      <c r="D6" s="319"/>
      <c r="E6" s="559" t="s">
        <v>501</v>
      </c>
      <c r="F6" s="559"/>
      <c r="G6" s="559"/>
      <c r="H6" s="559"/>
      <c r="I6" s="559"/>
      <c r="J6" s="559"/>
      <c r="K6" s="559"/>
      <c r="L6" s="559"/>
      <c r="M6" s="559"/>
      <c r="N6" s="559"/>
      <c r="O6" s="559"/>
      <c r="P6" s="559"/>
      <c r="Q6" s="559"/>
      <c r="R6" s="559"/>
      <c r="S6" s="559"/>
      <c r="T6" s="560"/>
    </row>
    <row r="7" spans="1:28" s="253" customFormat="1" ht="15.75" thickBot="1" x14ac:dyDescent="0.3">
      <c r="A7" s="252"/>
      <c r="B7" s="255"/>
      <c r="C7" s="255"/>
      <c r="I7" s="254"/>
      <c r="J7" s="256"/>
      <c r="K7" s="256"/>
      <c r="P7" s="254"/>
      <c r="Q7" s="254"/>
      <c r="V7" s="254"/>
    </row>
    <row r="8" spans="1:28" s="258" customFormat="1" ht="30" customHeight="1" thickBot="1" x14ac:dyDescent="0.3">
      <c r="A8" s="257"/>
      <c r="B8" s="542" t="s">
        <v>2</v>
      </c>
      <c r="C8" s="542" t="s">
        <v>3</v>
      </c>
      <c r="D8" s="542" t="s">
        <v>4</v>
      </c>
      <c r="E8" s="542" t="s">
        <v>5</v>
      </c>
      <c r="F8" s="549" t="s">
        <v>28</v>
      </c>
      <c r="G8" s="546" t="s">
        <v>213</v>
      </c>
      <c r="H8" s="546"/>
      <c r="I8" s="547" t="s">
        <v>24</v>
      </c>
      <c r="J8" s="542" t="s">
        <v>11</v>
      </c>
      <c r="K8" s="544" t="s">
        <v>35</v>
      </c>
      <c r="L8" s="545"/>
      <c r="M8" s="562" t="s">
        <v>211</v>
      </c>
      <c r="N8" s="546" t="s">
        <v>214</v>
      </c>
      <c r="O8" s="546"/>
      <c r="P8" s="547" t="s">
        <v>24</v>
      </c>
      <c r="Q8" s="549" t="s">
        <v>10</v>
      </c>
      <c r="R8" s="546" t="s">
        <v>8</v>
      </c>
      <c r="S8" s="567" t="s">
        <v>17</v>
      </c>
      <c r="T8" s="546" t="s">
        <v>231</v>
      </c>
      <c r="U8" s="542" t="s">
        <v>215</v>
      </c>
      <c r="V8" s="546" t="s">
        <v>9</v>
      </c>
      <c r="W8" s="566" t="s">
        <v>216</v>
      </c>
      <c r="X8" s="566"/>
      <c r="Y8" s="551" t="s">
        <v>623</v>
      </c>
      <c r="Z8" s="552"/>
    </row>
    <row r="9" spans="1:28" s="258" customFormat="1" ht="81" customHeight="1" x14ac:dyDescent="0.25">
      <c r="A9" s="257"/>
      <c r="B9" s="543"/>
      <c r="C9" s="543"/>
      <c r="D9" s="543"/>
      <c r="E9" s="543"/>
      <c r="F9" s="549"/>
      <c r="G9" s="282" t="s">
        <v>6</v>
      </c>
      <c r="H9" s="259" t="s">
        <v>7</v>
      </c>
      <c r="I9" s="548"/>
      <c r="J9" s="543"/>
      <c r="K9" s="260" t="s">
        <v>229</v>
      </c>
      <c r="L9" s="261" t="s">
        <v>230</v>
      </c>
      <c r="M9" s="563"/>
      <c r="N9" s="262" t="s">
        <v>6</v>
      </c>
      <c r="O9" s="263" t="s">
        <v>7</v>
      </c>
      <c r="P9" s="548"/>
      <c r="Q9" s="549"/>
      <c r="R9" s="546"/>
      <c r="S9" s="567"/>
      <c r="T9" s="546"/>
      <c r="U9" s="543"/>
      <c r="V9" s="546"/>
      <c r="W9" s="247" t="s">
        <v>206</v>
      </c>
      <c r="X9" s="247" t="s">
        <v>207</v>
      </c>
      <c r="Y9" s="422" t="s">
        <v>658</v>
      </c>
      <c r="Z9" s="422" t="s">
        <v>659</v>
      </c>
    </row>
    <row r="10" spans="1:28" s="253" customFormat="1" ht="176.25" customHeight="1" x14ac:dyDescent="0.25">
      <c r="A10" s="283">
        <v>1</v>
      </c>
      <c r="B10" s="395" t="s">
        <v>397</v>
      </c>
      <c r="C10" s="396" t="s">
        <v>386</v>
      </c>
      <c r="D10" s="329"/>
      <c r="E10" s="397" t="s">
        <v>382</v>
      </c>
      <c r="F10" s="284" t="s">
        <v>27</v>
      </c>
      <c r="G10" s="265">
        <v>3</v>
      </c>
      <c r="H10" s="265">
        <v>4</v>
      </c>
      <c r="I10" s="380" t="str">
        <f>INDEX([5]Listas!$L$4:$P$8,G10,H10)</f>
        <v>EXTREMA</v>
      </c>
      <c r="J10" s="395" t="s">
        <v>387</v>
      </c>
      <c r="K10" s="284" t="s">
        <v>228</v>
      </c>
      <c r="L10" s="285" t="str">
        <f>IF('[5]Evaluación de Controles'!F16="X","Probabilidad",IF('[5]Evaluación de Controles'!H16="X","Impacto",))</f>
        <v>Probabilidad</v>
      </c>
      <c r="M10" s="491">
        <v>85</v>
      </c>
      <c r="N10" s="265">
        <f>IF('[5]Evaluación de Controles'!F16="X",IF(M10&gt;75,IF(G10&gt;2,G10-2,IF(G10&gt;1,G10-1,G10)),IF(M10&gt;50,IF(G10&gt;1,G10-1,G10),G10)),G10)</f>
        <v>1</v>
      </c>
      <c r="O10" s="265">
        <f>IF('[5]Evaluación de Controles'!H16="X",IF(M10&gt;75,IF(H10&gt;2,H10-2,IF(H10&gt;1,H10-1,H10)),IF(M10&gt;50,IF(H10&gt;1,H10-1,H10),H10)),H10)</f>
        <v>4</v>
      </c>
      <c r="P10" s="380" t="str">
        <f>INDEX([5]Listas!$L$4:$P$8,N10,O10)</f>
        <v>ALTA</v>
      </c>
      <c r="Q10" s="293" t="s">
        <v>237</v>
      </c>
      <c r="R10" s="395" t="s">
        <v>398</v>
      </c>
      <c r="S10" s="284" t="s">
        <v>19</v>
      </c>
      <c r="T10" s="265" t="s">
        <v>399</v>
      </c>
      <c r="U10" s="265" t="s">
        <v>400</v>
      </c>
      <c r="V10" s="313" t="s">
        <v>649</v>
      </c>
      <c r="W10" s="273"/>
      <c r="X10" s="291"/>
      <c r="Y10" s="390" t="s">
        <v>711</v>
      </c>
      <c r="Z10" s="390">
        <f>20/20</f>
        <v>1</v>
      </c>
    </row>
    <row r="11" spans="1:28" s="253" customFormat="1" ht="112.5" customHeight="1" x14ac:dyDescent="0.25">
      <c r="A11" s="283">
        <v>2</v>
      </c>
      <c r="B11" s="395" t="s">
        <v>401</v>
      </c>
      <c r="C11" s="398" t="s">
        <v>406</v>
      </c>
      <c r="D11" s="329"/>
      <c r="E11" s="399" t="s">
        <v>383</v>
      </c>
      <c r="F11" s="284" t="s">
        <v>27</v>
      </c>
      <c r="G11" s="265">
        <v>3</v>
      </c>
      <c r="H11" s="265">
        <v>3</v>
      </c>
      <c r="I11" s="380" t="str">
        <f>INDEX([5]Listas!$L$4:$P$8,G11,H11)</f>
        <v>ALTA</v>
      </c>
      <c r="J11" s="400" t="s">
        <v>385</v>
      </c>
      <c r="K11" s="284" t="s">
        <v>228</v>
      </c>
      <c r="L11" s="285" t="str">
        <f>IF('[5]Evaluación de Controles'!F17="X","Probabilidad",IF('[5]Evaluación de Controles'!H17="X","Impacto",))</f>
        <v>Probabilidad</v>
      </c>
      <c r="M11" s="491">
        <v>85</v>
      </c>
      <c r="N11" s="265">
        <f>IF('[5]Evaluación de Controles'!F17="X",IF(M11&gt;75,IF(G11&gt;2,G11-2,IF(G11&gt;1,G11-1,G11)),IF(M11&gt;50,IF(G11&gt;1,G11-1,G11),G11)),G11)</f>
        <v>1</v>
      </c>
      <c r="O11" s="265">
        <f>IF('[5]Evaluación de Controles'!H17="X",IF(M11&gt;75,IF(H11&gt;2,H11-2,IF(H11&gt;1,H11-1,H11)),IF(M11&gt;50,IF(H11&gt;1,H11-1,H11),H11)),H11)</f>
        <v>3</v>
      </c>
      <c r="P11" s="380" t="str">
        <f>INDEX([5]Listas!$L$4:$P$8,N11,O11)</f>
        <v>MODERADA</v>
      </c>
      <c r="Q11" s="293" t="s">
        <v>237</v>
      </c>
      <c r="R11" s="395" t="s">
        <v>402</v>
      </c>
      <c r="S11" s="284" t="s">
        <v>264</v>
      </c>
      <c r="T11" s="265" t="s">
        <v>399</v>
      </c>
      <c r="U11" s="265" t="s">
        <v>385</v>
      </c>
      <c r="V11" s="265" t="s">
        <v>650</v>
      </c>
      <c r="W11" s="273"/>
      <c r="X11" s="291"/>
      <c r="Y11" s="390">
        <v>1</v>
      </c>
      <c r="Z11" s="390">
        <v>1</v>
      </c>
    </row>
    <row r="12" spans="1:28" s="253" customFormat="1" ht="126.75" customHeight="1" x14ac:dyDescent="0.25">
      <c r="A12" s="283">
        <v>3</v>
      </c>
      <c r="B12" s="534" t="s">
        <v>405</v>
      </c>
      <c r="C12" s="535" t="s">
        <v>404</v>
      </c>
      <c r="D12" s="481"/>
      <c r="E12" s="535" t="s">
        <v>384</v>
      </c>
      <c r="F12" s="284" t="s">
        <v>76</v>
      </c>
      <c r="G12" s="265">
        <v>3</v>
      </c>
      <c r="H12" s="265">
        <v>3</v>
      </c>
      <c r="I12" s="380" t="str">
        <f>INDEX([5]Listas!$L$4:$P$8,G12,H12)</f>
        <v>ALTA</v>
      </c>
      <c r="J12" s="265" t="s">
        <v>410</v>
      </c>
      <c r="K12" s="284" t="s">
        <v>227</v>
      </c>
      <c r="L12" s="285" t="str">
        <f>IF('[5]Evaluación de Controles'!F18="X","Probabilidad",IF('[5]Evaluación de Controles'!H18="X","Impacto",))</f>
        <v>Probabilidad</v>
      </c>
      <c r="M12" s="491">
        <v>85</v>
      </c>
      <c r="N12" s="265">
        <f>IF('[5]Evaluación de Controles'!F18="X",IF(M12&gt;75,IF(G12&gt;2,G12-2,IF(G12&gt;1,G12-1,G12)),IF(M12&gt;50,IF(G12&gt;1,G12-1,G12),G12)),G12)</f>
        <v>1</v>
      </c>
      <c r="O12" s="265">
        <f>IF('[5]Evaluación de Controles'!H18="X",IF(M12&gt;75,IF(H12&gt;2,H12-2,IF(H12&gt;1,H12-1,H12)),IF(M12&gt;50,IF(H12&gt;1,H12-1,H12),H12)),H12)</f>
        <v>3</v>
      </c>
      <c r="P12" s="380" t="str">
        <f>INDEX([5]Listas!$L$4:$P$8,N12,O12)</f>
        <v>MODERADA</v>
      </c>
      <c r="Q12" s="293" t="s">
        <v>237</v>
      </c>
      <c r="R12" s="395" t="s">
        <v>408</v>
      </c>
      <c r="S12" s="284" t="s">
        <v>264</v>
      </c>
      <c r="T12" s="265" t="s">
        <v>409</v>
      </c>
      <c r="U12" s="265" t="s">
        <v>407</v>
      </c>
      <c r="V12" s="265" t="s">
        <v>403</v>
      </c>
      <c r="W12" s="273"/>
      <c r="X12" s="291"/>
      <c r="Y12" s="424">
        <v>1</v>
      </c>
      <c r="Z12" s="424">
        <v>1</v>
      </c>
    </row>
    <row r="13" spans="1:28" s="253" customFormat="1" ht="42" customHeight="1" x14ac:dyDescent="0.2">
      <c r="A13" s="283"/>
      <c r="B13" s="401"/>
      <c r="C13" s="402"/>
      <c r="D13" s="403"/>
      <c r="E13" s="402"/>
      <c r="F13" s="404"/>
      <c r="G13" s="265"/>
      <c r="H13" s="265"/>
      <c r="I13" s="380"/>
      <c r="J13" s="275"/>
      <c r="K13" s="404"/>
      <c r="L13" s="495"/>
      <c r="M13" s="275"/>
      <c r="N13" s="265"/>
      <c r="O13" s="265"/>
      <c r="P13" s="380"/>
      <c r="Q13" s="405"/>
      <c r="R13" s="406"/>
      <c r="S13" s="404"/>
      <c r="T13" s="275"/>
      <c r="U13" s="9"/>
      <c r="V13" s="9"/>
      <c r="W13" s="9"/>
      <c r="X13" s="9"/>
      <c r="Y13" s="9"/>
      <c r="Z13" s="9"/>
      <c r="AA13" s="9"/>
      <c r="AB13" s="9"/>
    </row>
    <row r="14" spans="1:28" ht="14.25" x14ac:dyDescent="0.2">
      <c r="D14" s="9"/>
      <c r="G14" s="541" t="s">
        <v>97</v>
      </c>
      <c r="H14" s="541"/>
      <c r="I14" s="36">
        <f>COUNTIF(I10:I12,"BAJA")</f>
        <v>0</v>
      </c>
      <c r="N14" s="541" t="s">
        <v>97</v>
      </c>
      <c r="O14" s="541"/>
      <c r="P14" s="36">
        <f>COUNTIF(P10:P12,"BAJA")</f>
        <v>0</v>
      </c>
      <c r="Q14" s="229"/>
      <c r="V14" s="9"/>
      <c r="W14" s="9"/>
      <c r="X14" s="9"/>
      <c r="Y14" s="425"/>
      <c r="Z14" s="281"/>
      <c r="AA14" s="9"/>
    </row>
    <row r="15" spans="1:28" x14ac:dyDescent="0.2">
      <c r="D15" s="9"/>
      <c r="G15" s="541" t="s">
        <v>99</v>
      </c>
      <c r="H15" s="541"/>
      <c r="I15" s="36">
        <f>COUNTIF(I10:I12,"MODERADA")</f>
        <v>0</v>
      </c>
      <c r="N15" s="541" t="s">
        <v>99</v>
      </c>
      <c r="O15" s="541"/>
      <c r="P15" s="36">
        <f>COUNTIF(P10:P12,"MODERADA")</f>
        <v>2</v>
      </c>
      <c r="Q15" s="229"/>
      <c r="V15" s="9"/>
      <c r="W15" s="9"/>
      <c r="X15" s="9"/>
      <c r="Y15" s="9"/>
      <c r="Z15" s="9"/>
      <c r="AA15" s="9"/>
    </row>
    <row r="16" spans="1:28" x14ac:dyDescent="0.2">
      <c r="B16" s="9"/>
      <c r="D16" s="9"/>
      <c r="E16" s="9"/>
      <c r="G16" s="541" t="s">
        <v>98</v>
      </c>
      <c r="H16" s="541"/>
      <c r="I16" s="36">
        <f>COUNTIF(I10:I12,"ALTA")</f>
        <v>2</v>
      </c>
      <c r="N16" s="541" t="s">
        <v>98</v>
      </c>
      <c r="O16" s="541"/>
      <c r="P16" s="36">
        <f>COUNTIF(P10:P12,"ALTA")</f>
        <v>1</v>
      </c>
      <c r="Q16" s="229"/>
      <c r="V16" s="9"/>
      <c r="W16" s="9"/>
      <c r="X16" s="9"/>
      <c r="Y16" s="9"/>
      <c r="Z16" s="9"/>
      <c r="AA16" s="9"/>
    </row>
    <row r="17" spans="2:27" ht="15.75" x14ac:dyDescent="0.2">
      <c r="B17" s="234"/>
      <c r="C17" s="334"/>
      <c r="D17" s="9"/>
      <c r="E17" s="340"/>
      <c r="G17" s="541" t="s">
        <v>100</v>
      </c>
      <c r="H17" s="541"/>
      <c r="I17" s="36">
        <f>COUNTIF(I10:I12,"EXTREMA")</f>
        <v>1</v>
      </c>
      <c r="N17" s="541" t="s">
        <v>100</v>
      </c>
      <c r="O17" s="541"/>
      <c r="P17" s="36">
        <f>COUNTIF(P10:P12,"EXTREMA")</f>
        <v>0</v>
      </c>
      <c r="Q17" s="229"/>
      <c r="V17" s="9"/>
      <c r="W17" s="9"/>
      <c r="X17" s="9"/>
      <c r="Y17" s="9"/>
      <c r="Z17" s="9"/>
      <c r="AA17" s="9"/>
    </row>
    <row r="18" spans="2:27" ht="15.75" x14ac:dyDescent="0.25">
      <c r="B18" s="333"/>
      <c r="C18" s="334"/>
      <c r="D18" s="9"/>
      <c r="P18" s="229"/>
      <c r="Q18" s="229"/>
      <c r="V18" s="9"/>
      <c r="W18" s="9"/>
      <c r="X18" s="9"/>
      <c r="Y18" s="9"/>
      <c r="Z18" s="9"/>
      <c r="AA18" s="9"/>
    </row>
    <row r="19" spans="2:27" x14ac:dyDescent="0.2">
      <c r="V19" s="426"/>
      <c r="W19" s="9"/>
      <c r="X19" s="9"/>
      <c r="Y19" s="9"/>
      <c r="Z19" s="9"/>
      <c r="AA19" s="9"/>
    </row>
    <row r="20" spans="2:27" ht="33" customHeight="1" x14ac:dyDescent="0.2">
      <c r="B20" s="231"/>
      <c r="C20" s="360"/>
      <c r="D20" s="172"/>
      <c r="E20" s="233"/>
      <c r="F20" s="233"/>
      <c r="G20" s="233"/>
    </row>
    <row r="21" spans="2:27" ht="15" x14ac:dyDescent="0.2">
      <c r="B21" s="363" t="s">
        <v>654</v>
      </c>
      <c r="C21" s="366"/>
      <c r="D21" s="364"/>
      <c r="E21" s="363" t="s">
        <v>492</v>
      </c>
      <c r="F21" s="365"/>
      <c r="G21" s="365"/>
    </row>
    <row r="22" spans="2:27" ht="15" x14ac:dyDescent="0.2">
      <c r="B22" s="232" t="s">
        <v>244</v>
      </c>
      <c r="C22" s="171"/>
      <c r="D22" s="172"/>
      <c r="E22" s="232" t="s">
        <v>245</v>
      </c>
      <c r="F22" s="171"/>
      <c r="G22" s="14"/>
    </row>
  </sheetData>
  <customSheetViews>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1"/>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2"/>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3"/>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5"/>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6"/>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Y8:Z8"/>
    <mergeCell ref="B6:C6"/>
    <mergeCell ref="E6:T6"/>
    <mergeCell ref="B1:C3"/>
    <mergeCell ref="E1:U3"/>
    <mergeCell ref="B5:C5"/>
    <mergeCell ref="E5:O5"/>
    <mergeCell ref="P5:Q5"/>
    <mergeCell ref="K8:L8"/>
    <mergeCell ref="W8:X8"/>
    <mergeCell ref="V8:V9"/>
    <mergeCell ref="U8:U9"/>
    <mergeCell ref="B8:B9"/>
    <mergeCell ref="E8:E9"/>
    <mergeCell ref="F8:F9"/>
    <mergeCell ref="D8:D9"/>
    <mergeCell ref="R8:R9"/>
    <mergeCell ref="T8:T9"/>
    <mergeCell ref="S8:S9"/>
    <mergeCell ref="M8:M9"/>
    <mergeCell ref="N8:O8"/>
    <mergeCell ref="P8:P9"/>
    <mergeCell ref="Q8:Q9"/>
    <mergeCell ref="C8:C9"/>
    <mergeCell ref="G17:H17"/>
    <mergeCell ref="N14:O14"/>
    <mergeCell ref="N15:O15"/>
    <mergeCell ref="N16:O16"/>
    <mergeCell ref="N17:O17"/>
    <mergeCell ref="G14:H14"/>
    <mergeCell ref="G15:H15"/>
    <mergeCell ref="G16:H16"/>
    <mergeCell ref="J8:J9"/>
    <mergeCell ref="G8:H8"/>
    <mergeCell ref="I8:I9"/>
  </mergeCells>
  <conditionalFormatting sqref="I7 P7 I14:I1048576 P14:P1048576">
    <cfRule type="cellIs" dxfId="666" priority="86" operator="equal">
      <formula>"BAJA"</formula>
    </cfRule>
  </conditionalFormatting>
  <conditionalFormatting sqref="I7 P7 I14:I1048576 P14:P1048576">
    <cfRule type="cellIs" dxfId="665" priority="83" operator="equal">
      <formula>"EXTREMA"</formula>
    </cfRule>
    <cfRule type="cellIs" dxfId="664" priority="84" operator="equal">
      <formula>"ALTA"</formula>
    </cfRule>
    <cfRule type="cellIs" dxfId="663" priority="85" operator="equal">
      <formula>"MODERADA"</formula>
    </cfRule>
  </conditionalFormatting>
  <conditionalFormatting sqref="F7:G7 F14:G19 N7:O7 N14:O1048576 F23:G1048576">
    <cfRule type="colorScale" priority="82">
      <colorScale>
        <cfvo type="num" val="1"/>
        <cfvo type="num" val="3"/>
        <cfvo type="num" val="5"/>
        <color theme="6" tint="-0.499984740745262"/>
        <color rgb="FFFFFF00"/>
        <color rgb="FFC00000"/>
      </colorScale>
    </cfRule>
  </conditionalFormatting>
  <conditionalFormatting sqref="G8:H9 N8:O9">
    <cfRule type="colorScale" priority="25">
      <colorScale>
        <cfvo type="num" val="1"/>
        <cfvo type="num" val="3"/>
        <cfvo type="num" val="5"/>
        <color theme="6" tint="-0.499984740745262"/>
        <color rgb="FFFFFF00"/>
        <color rgb="FFC00000"/>
      </colorScale>
    </cfRule>
  </conditionalFormatting>
  <conditionalFormatting sqref="I8:I9 P8:P9">
    <cfRule type="cellIs" dxfId="662" priority="29" operator="equal">
      <formula>"BAJA"</formula>
    </cfRule>
  </conditionalFormatting>
  <conditionalFormatting sqref="I8:I9 P8:P9">
    <cfRule type="cellIs" dxfId="661" priority="26" operator="equal">
      <formula>"EXTREMA"</formula>
    </cfRule>
    <cfRule type="cellIs" dxfId="660" priority="27" operator="equal">
      <formula>"ALTA"</formula>
    </cfRule>
    <cfRule type="cellIs" dxfId="659" priority="28" operator="equal">
      <formula>"MODERADA"</formula>
    </cfRule>
  </conditionalFormatting>
  <conditionalFormatting sqref="F4:G4 N4:O4">
    <cfRule type="colorScale" priority="24">
      <colorScale>
        <cfvo type="num" val="1"/>
        <cfvo type="num" val="3"/>
        <cfvo type="num" val="5"/>
        <color theme="6" tint="-0.499984740745262"/>
        <color rgb="FFFFFF00"/>
        <color rgb="FFC00000"/>
      </colorScale>
    </cfRule>
  </conditionalFormatting>
  <conditionalFormatting sqref="G10:H13">
    <cfRule type="colorScale" priority="12">
      <colorScale>
        <cfvo type="num" val="1"/>
        <cfvo type="num" val="3"/>
        <cfvo type="num" val="5"/>
        <color theme="6" tint="-0.499984740745262"/>
        <color rgb="FFFFFF00"/>
        <color rgb="FFC00000"/>
      </colorScale>
    </cfRule>
  </conditionalFormatting>
  <conditionalFormatting sqref="I10:I13">
    <cfRule type="cellIs" dxfId="658" priority="8" operator="equal">
      <formula>"EXTREMA"</formula>
    </cfRule>
    <cfRule type="cellIs" dxfId="657" priority="9" operator="equal">
      <formula>"ALTA"</formula>
    </cfRule>
    <cfRule type="cellIs" dxfId="656" priority="10" operator="equal">
      <formula>"MODERADA"</formula>
    </cfRule>
    <cfRule type="cellIs" dxfId="655" priority="11" operator="equal">
      <formula>"BAJA"</formula>
    </cfRule>
  </conditionalFormatting>
  <conditionalFormatting sqref="P10:P13">
    <cfRule type="cellIs" dxfId="654" priority="4" operator="equal">
      <formula>"EXTREMA"</formula>
    </cfRule>
    <cfRule type="cellIs" dxfId="653" priority="5" operator="equal">
      <formula>"ALTA"</formula>
    </cfRule>
    <cfRule type="cellIs" dxfId="652" priority="6" operator="equal">
      <formula>"MODERADA"</formula>
    </cfRule>
    <cfRule type="cellIs" dxfId="651" priority="7" operator="equal">
      <formula>"BAJA"</formula>
    </cfRule>
  </conditionalFormatting>
  <conditionalFormatting sqref="N10:O13">
    <cfRule type="colorScale" priority="3">
      <colorScale>
        <cfvo type="num" val="1"/>
        <cfvo type="num" val="3"/>
        <cfvo type="num" val="5"/>
        <color theme="6" tint="-0.499984740745262"/>
        <color rgb="FFFFFF00"/>
        <color rgb="FFC00000"/>
      </colorScale>
    </cfRule>
  </conditionalFormatting>
  <conditionalFormatting sqref="F20:G20 G21:G22">
    <cfRule type="colorScale" priority="2">
      <colorScale>
        <cfvo type="num" val="1"/>
        <cfvo type="num" val="3"/>
        <cfvo type="num" val="5"/>
        <color theme="6" tint="-0.499984740745262"/>
        <color rgb="FFFFFF00"/>
        <color rgb="FFC00000"/>
      </colorScale>
    </cfRule>
  </conditionalFormatting>
  <conditionalFormatting sqref="F21:F22">
    <cfRule type="colorScale" priority="1">
      <colorScale>
        <cfvo type="num" val="1"/>
        <cfvo type="num" val="3"/>
        <cfvo type="num" val="5"/>
        <color theme="6" tint="-0.499984740745262"/>
        <color rgb="FFFFFF00"/>
        <color rgb="FFC00000"/>
      </colorScale>
    </cfRule>
  </conditionalFormatting>
  <dataValidations count="1">
    <dataValidation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B10:B11" xr:uid="{00000000-0002-0000-0300-000000000000}"/>
  </dataValidations>
  <printOptions horizontalCentered="1"/>
  <pageMargins left="1.3779527559055118" right="0.74803149606299213" top="0.6692913385826772" bottom="0.55118110236220474" header="0.31496062992125984" footer="0.19685039370078741"/>
  <pageSetup paperSize="5" scale="50" fitToWidth="0" orientation="landscape" r:id="rId20"/>
  <drawing r:id="rId21"/>
  <extLst>
    <ext xmlns:x14="http://schemas.microsoft.com/office/spreadsheetml/2009/9/main" uri="{CCE6A557-97BC-4b89-ADB6-D9C93CAAB3DF}">
      <x14:dataValidations xmlns:xm="http://schemas.microsoft.com/office/excel/2006/main" count="1">
        <x14:dataValidation type="list" showInputMessage="1" showErrorMessage="1" xr:uid="{00000000-0002-0000-0300-000001000000}">
          <x14:formula1>
            <xm:f>'/Volumes/GoogleDrive/Mi unidad/COVID REPS/FEBRERO 2021/04 FEBRERO/E:\PLANEACIÓN HRQV\MAPA DE RIESGOS\EVALUACIÓN I SEMESTRE\SEGUIMIENTO MAPA DE RIESGOS\CALIDAD\[Mapa de Riesgos  y seguimiento Administrativos 2019.xlsx]Listas'!#REF!</xm:f>
          </x14:formula1>
          <xm:sqref>K10:K13 F10:F13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sheetPr>
  <dimension ref="A1:Z23"/>
  <sheetViews>
    <sheetView topLeftCell="K3" zoomScale="90" zoomScaleNormal="90" workbookViewId="0">
      <selection activeCell="R13" sqref="R13"/>
    </sheetView>
  </sheetViews>
  <sheetFormatPr baseColWidth="10" defaultColWidth="11.42578125" defaultRowHeight="12" x14ac:dyDescent="0.2"/>
  <cols>
    <col min="1" max="1" width="4.7109375" style="5" customWidth="1"/>
    <col min="2" max="3" width="21.7109375" style="5" customWidth="1"/>
    <col min="4" max="4" width="21.7109375" style="5" hidden="1" customWidth="1"/>
    <col min="5" max="5" width="24" style="5" customWidth="1"/>
    <col min="6" max="8" width="6.7109375" style="5" customWidth="1"/>
    <col min="9" max="9" width="6.7109375" style="13" customWidth="1"/>
    <col min="10" max="10" width="22.42578125" style="20" customWidth="1"/>
    <col min="11" max="11" width="6.7109375" style="20" customWidth="1"/>
    <col min="12" max="14" width="6.7109375" style="5" customWidth="1"/>
    <col min="15" max="15" width="9.7109375" style="5" customWidth="1"/>
    <col min="16" max="17" width="6.7109375" style="13" customWidth="1"/>
    <col min="18" max="18" width="23.42578125" style="5" customWidth="1"/>
    <col min="19" max="19" width="6.7109375" style="5" customWidth="1"/>
    <col min="20" max="20" width="20.140625" style="5" customWidth="1"/>
    <col min="21" max="21" width="24.42578125" style="5" customWidth="1"/>
    <col min="22" max="22" width="27.140625" style="18" customWidth="1"/>
    <col min="23" max="24" width="36.7109375" style="5" hidden="1" customWidth="1"/>
    <col min="25" max="25" width="18.85546875" style="5" customWidth="1"/>
    <col min="26" max="26" width="20.42578125" style="5" customWidth="1"/>
    <col min="27" max="16384" width="11.42578125" style="5"/>
  </cols>
  <sheetData>
    <row r="1" spans="1:26" ht="24.75" customHeight="1" x14ac:dyDescent="0.2">
      <c r="B1" s="555"/>
      <c r="C1" s="555"/>
      <c r="D1" s="229"/>
      <c r="E1" s="556" t="s">
        <v>389</v>
      </c>
      <c r="F1" s="556"/>
      <c r="G1" s="556"/>
      <c r="H1" s="556"/>
      <c r="I1" s="556"/>
      <c r="J1" s="556"/>
      <c r="K1" s="556"/>
      <c r="L1" s="556"/>
      <c r="M1" s="556"/>
      <c r="N1" s="556"/>
      <c r="O1" s="556"/>
      <c r="P1" s="556"/>
      <c r="Q1" s="556"/>
      <c r="R1" s="556"/>
      <c r="S1" s="556"/>
      <c r="T1" s="556"/>
      <c r="U1" s="556"/>
      <c r="V1" s="324" t="s">
        <v>594</v>
      </c>
    </row>
    <row r="2" spans="1:26" ht="24.75" customHeight="1" x14ac:dyDescent="0.3">
      <c r="B2" s="555"/>
      <c r="C2" s="555"/>
      <c r="D2" s="314" t="s">
        <v>334</v>
      </c>
      <c r="E2" s="556"/>
      <c r="F2" s="556"/>
      <c r="G2" s="556"/>
      <c r="H2" s="556"/>
      <c r="I2" s="556"/>
      <c r="J2" s="556"/>
      <c r="K2" s="556"/>
      <c r="L2" s="556"/>
      <c r="M2" s="556"/>
      <c r="N2" s="556"/>
      <c r="O2" s="556"/>
      <c r="P2" s="556"/>
      <c r="Q2" s="556"/>
      <c r="R2" s="556"/>
      <c r="S2" s="556"/>
      <c r="T2" s="556"/>
      <c r="U2" s="556"/>
      <c r="V2" s="324" t="s">
        <v>595</v>
      </c>
    </row>
    <row r="3" spans="1:26" ht="24.75" customHeight="1" x14ac:dyDescent="0.3">
      <c r="B3" s="555"/>
      <c r="C3" s="555"/>
      <c r="D3" s="314" t="s">
        <v>16</v>
      </c>
      <c r="E3" s="556"/>
      <c r="F3" s="556"/>
      <c r="G3" s="556"/>
      <c r="H3" s="556"/>
      <c r="I3" s="556"/>
      <c r="J3" s="556"/>
      <c r="K3" s="556"/>
      <c r="L3" s="556"/>
      <c r="M3" s="556"/>
      <c r="N3" s="556"/>
      <c r="O3" s="556"/>
      <c r="P3" s="556"/>
      <c r="Q3" s="556"/>
      <c r="R3" s="556"/>
      <c r="S3" s="556"/>
      <c r="T3" s="556"/>
      <c r="U3" s="556"/>
      <c r="V3" s="324" t="s">
        <v>596</v>
      </c>
    </row>
    <row r="4" spans="1:26" s="229" customFormat="1" ht="20.25" x14ac:dyDescent="0.3">
      <c r="D4" s="250"/>
      <c r="E4" s="250"/>
      <c r="F4" s="250"/>
      <c r="G4" s="250"/>
      <c r="H4" s="250"/>
      <c r="I4" s="251"/>
      <c r="J4" s="250"/>
      <c r="K4" s="250"/>
      <c r="L4" s="250"/>
      <c r="M4" s="250"/>
      <c r="P4" s="13"/>
      <c r="Q4" s="13"/>
      <c r="V4" s="18"/>
    </row>
    <row r="5" spans="1:26" s="4" customFormat="1" ht="24" customHeight="1" x14ac:dyDescent="0.25">
      <c r="A5" s="14"/>
      <c r="B5" s="553" t="s">
        <v>0</v>
      </c>
      <c r="C5" s="554"/>
      <c r="D5" s="316" t="s">
        <v>335</v>
      </c>
      <c r="E5" s="557" t="s">
        <v>393</v>
      </c>
      <c r="F5" s="557"/>
      <c r="G5" s="557"/>
      <c r="H5" s="557"/>
      <c r="I5" s="557"/>
      <c r="J5" s="557"/>
      <c r="K5" s="557"/>
      <c r="L5" s="557"/>
      <c r="M5" s="557"/>
      <c r="N5" s="557"/>
      <c r="O5" s="558"/>
      <c r="P5" s="553" t="s">
        <v>25</v>
      </c>
      <c r="Q5" s="554"/>
      <c r="R5" s="316">
        <v>2020</v>
      </c>
      <c r="S5" s="317"/>
      <c r="T5" s="318"/>
      <c r="U5" s="253"/>
      <c r="V5" s="253"/>
    </row>
    <row r="6" spans="1:26" s="4" customFormat="1" ht="24" customHeight="1" x14ac:dyDescent="0.25">
      <c r="A6" s="14"/>
      <c r="B6" s="553" t="s">
        <v>1</v>
      </c>
      <c r="C6" s="554"/>
      <c r="D6" s="319"/>
      <c r="E6" s="559" t="s">
        <v>502</v>
      </c>
      <c r="F6" s="559"/>
      <c r="G6" s="559"/>
      <c r="H6" s="559"/>
      <c r="I6" s="559"/>
      <c r="J6" s="559"/>
      <c r="K6" s="559"/>
      <c r="L6" s="559"/>
      <c r="M6" s="559"/>
      <c r="N6" s="559"/>
      <c r="O6" s="559"/>
      <c r="P6" s="559"/>
      <c r="Q6" s="559"/>
      <c r="R6" s="559"/>
      <c r="S6" s="559"/>
      <c r="T6" s="560"/>
      <c r="U6" s="253"/>
      <c r="V6" s="253"/>
    </row>
    <row r="7" spans="1:26" s="4" customFormat="1" ht="15.75" thickBot="1" x14ac:dyDescent="0.3">
      <c r="A7" s="14"/>
      <c r="B7" s="1"/>
      <c r="C7" s="1"/>
      <c r="I7" s="17"/>
      <c r="J7" s="2"/>
      <c r="K7" s="2"/>
      <c r="P7" s="17"/>
      <c r="Q7" s="17"/>
      <c r="V7" s="17"/>
    </row>
    <row r="8" spans="1:26" s="16" customFormat="1" ht="30" customHeight="1" thickBot="1" x14ac:dyDescent="0.3">
      <c r="A8" s="15"/>
      <c r="B8" s="573" t="s">
        <v>2</v>
      </c>
      <c r="C8" s="573" t="s">
        <v>3</v>
      </c>
      <c r="D8" s="573" t="s">
        <v>4</v>
      </c>
      <c r="E8" s="573" t="s">
        <v>5</v>
      </c>
      <c r="F8" s="578" t="s">
        <v>28</v>
      </c>
      <c r="G8" s="573" t="s">
        <v>213</v>
      </c>
      <c r="H8" s="573"/>
      <c r="I8" s="574" t="s">
        <v>24</v>
      </c>
      <c r="J8" s="579" t="s">
        <v>11</v>
      </c>
      <c r="K8" s="576" t="s">
        <v>35</v>
      </c>
      <c r="L8" s="577"/>
      <c r="M8" s="581" t="s">
        <v>211</v>
      </c>
      <c r="N8" s="573" t="s">
        <v>214</v>
      </c>
      <c r="O8" s="573"/>
      <c r="P8" s="574" t="s">
        <v>24</v>
      </c>
      <c r="Q8" s="578" t="s">
        <v>10</v>
      </c>
      <c r="R8" s="573" t="s">
        <v>8</v>
      </c>
      <c r="S8" s="550" t="s">
        <v>17</v>
      </c>
      <c r="T8" s="573" t="s">
        <v>231</v>
      </c>
      <c r="U8" s="579" t="s">
        <v>215</v>
      </c>
      <c r="V8" s="573" t="s">
        <v>9</v>
      </c>
      <c r="W8" s="566" t="s">
        <v>224</v>
      </c>
      <c r="X8" s="566"/>
      <c r="Y8" s="551" t="s">
        <v>623</v>
      </c>
      <c r="Z8" s="552"/>
    </row>
    <row r="9" spans="1:26" s="16" customFormat="1" ht="96.75" customHeight="1" x14ac:dyDescent="0.25">
      <c r="A9" s="15"/>
      <c r="B9" s="573"/>
      <c r="C9" s="573"/>
      <c r="D9" s="573"/>
      <c r="E9" s="573"/>
      <c r="F9" s="578"/>
      <c r="G9" s="175" t="s">
        <v>6</v>
      </c>
      <c r="H9" s="244" t="s">
        <v>7</v>
      </c>
      <c r="I9" s="575"/>
      <c r="J9" s="580"/>
      <c r="K9" s="243" t="s">
        <v>229</v>
      </c>
      <c r="L9" s="194" t="s">
        <v>230</v>
      </c>
      <c r="M9" s="582"/>
      <c r="N9" s="195" t="s">
        <v>6</v>
      </c>
      <c r="O9" s="196" t="s">
        <v>7</v>
      </c>
      <c r="P9" s="575"/>
      <c r="Q9" s="578"/>
      <c r="R9" s="573"/>
      <c r="S9" s="550"/>
      <c r="T9" s="573"/>
      <c r="U9" s="580"/>
      <c r="V9" s="573"/>
      <c r="W9" s="146" t="s">
        <v>206</v>
      </c>
      <c r="X9" s="146" t="s">
        <v>207</v>
      </c>
      <c r="Y9" s="422" t="s">
        <v>658</v>
      </c>
      <c r="Z9" s="422" t="s">
        <v>659</v>
      </c>
    </row>
    <row r="10" spans="1:26" s="4" customFormat="1" ht="181.5" customHeight="1" x14ac:dyDescent="0.25">
      <c r="A10" s="22">
        <v>1</v>
      </c>
      <c r="B10" s="30" t="s">
        <v>297</v>
      </c>
      <c r="C10" s="23" t="s">
        <v>411</v>
      </c>
      <c r="D10" s="30"/>
      <c r="E10" s="29" t="s">
        <v>412</v>
      </c>
      <c r="F10" s="26" t="s">
        <v>32</v>
      </c>
      <c r="G10" s="29">
        <v>3</v>
      </c>
      <c r="H10" s="29">
        <v>2</v>
      </c>
      <c r="I10" s="21" t="str">
        <f>INDEX(Listas!$L$4:$P$8,G10,H10)</f>
        <v>MODERADA</v>
      </c>
      <c r="J10" s="24" t="s">
        <v>413</v>
      </c>
      <c r="K10" s="28" t="s">
        <v>227</v>
      </c>
      <c r="L10" s="28" t="str">
        <f>IF('[7]Evaluación de Controles'!F19="X","Probabilidad",IF('[7]Evaluación de Controles'!#REF!="X","Impacto",))</f>
        <v>Probabilidad</v>
      </c>
      <c r="M10" s="496">
        <v>60</v>
      </c>
      <c r="N10" s="329">
        <v>2</v>
      </c>
      <c r="O10" s="173">
        <v>1</v>
      </c>
      <c r="P10" s="21" t="s">
        <v>52</v>
      </c>
      <c r="Q10" s="28" t="s">
        <v>79</v>
      </c>
      <c r="R10" s="25" t="s">
        <v>414</v>
      </c>
      <c r="S10" s="26" t="s">
        <v>264</v>
      </c>
      <c r="T10" s="29" t="s">
        <v>298</v>
      </c>
      <c r="U10" s="174" t="s">
        <v>415</v>
      </c>
      <c r="V10" s="29" t="s">
        <v>299</v>
      </c>
      <c r="W10" s="27"/>
      <c r="X10" s="30"/>
      <c r="Y10" s="440" t="s">
        <v>733</v>
      </c>
      <c r="Z10" s="389">
        <v>0.85</v>
      </c>
    </row>
    <row r="11" spans="1:26" s="4" customFormat="1" ht="267.75" customHeight="1" x14ac:dyDescent="0.25">
      <c r="A11" s="22">
        <v>2</v>
      </c>
      <c r="B11" s="30" t="s">
        <v>301</v>
      </c>
      <c r="C11" s="23" t="s">
        <v>300</v>
      </c>
      <c r="D11" s="30"/>
      <c r="E11" s="29" t="s">
        <v>416</v>
      </c>
      <c r="F11" s="26" t="s">
        <v>32</v>
      </c>
      <c r="G11" s="29">
        <v>3</v>
      </c>
      <c r="H11" s="29">
        <v>3</v>
      </c>
      <c r="I11" s="21" t="str">
        <f>INDEX(Listas!$L$4:$P$8,G11,H11)</f>
        <v>ALTA</v>
      </c>
      <c r="J11" s="24" t="s">
        <v>302</v>
      </c>
      <c r="K11" s="28" t="s">
        <v>227</v>
      </c>
      <c r="L11" s="28" t="str">
        <f>IF('[7]Evaluación de Controles'!F20="X","Probabilidad",IF('[7]Evaluación de Controles'!#REF!="X","Impacto",))</f>
        <v>Probabilidad</v>
      </c>
      <c r="M11" s="496">
        <v>70</v>
      </c>
      <c r="N11" s="190">
        <v>2</v>
      </c>
      <c r="O11" s="329">
        <v>2</v>
      </c>
      <c r="P11" s="21" t="s">
        <v>52</v>
      </c>
      <c r="Q11" s="28" t="s">
        <v>79</v>
      </c>
      <c r="R11" s="25" t="s">
        <v>417</v>
      </c>
      <c r="S11" s="26" t="s">
        <v>68</v>
      </c>
      <c r="T11" s="29" t="s">
        <v>298</v>
      </c>
      <c r="U11" s="174" t="s">
        <v>303</v>
      </c>
      <c r="V11" s="29" t="s">
        <v>304</v>
      </c>
      <c r="W11" s="27"/>
      <c r="X11" s="30"/>
      <c r="Y11" s="417" t="s">
        <v>749</v>
      </c>
      <c r="Z11" s="389">
        <f>26/26</f>
        <v>1</v>
      </c>
    </row>
    <row r="12" spans="1:26" s="4" customFormat="1" ht="144" customHeight="1" x14ac:dyDescent="0.25">
      <c r="A12" s="22">
        <v>3</v>
      </c>
      <c r="B12" s="329" t="s">
        <v>418</v>
      </c>
      <c r="C12" s="325" t="s">
        <v>505</v>
      </c>
      <c r="D12" s="329"/>
      <c r="E12" s="329" t="s">
        <v>504</v>
      </c>
      <c r="F12" s="26" t="s">
        <v>32</v>
      </c>
      <c r="G12" s="29">
        <v>3</v>
      </c>
      <c r="H12" s="29">
        <v>2</v>
      </c>
      <c r="I12" s="21" t="str">
        <f>INDEX(Listas!$L$4:$P$8,G12,H12)</f>
        <v>MODERADA</v>
      </c>
      <c r="J12" s="327" t="s">
        <v>305</v>
      </c>
      <c r="K12" s="28" t="s">
        <v>228</v>
      </c>
      <c r="L12" s="28" t="str">
        <f>IF('[7]Evaluación de Controles'!F21="X","Probabilidad",IF('[7]Evaluación de Controles'!H21="X","Impacto",))</f>
        <v>Probabilidad</v>
      </c>
      <c r="M12" s="496">
        <v>70</v>
      </c>
      <c r="N12" s="329">
        <v>2</v>
      </c>
      <c r="O12" s="329">
        <v>2</v>
      </c>
      <c r="P12" s="21" t="s">
        <v>52</v>
      </c>
      <c r="Q12" s="28" t="s">
        <v>237</v>
      </c>
      <c r="R12" s="330" t="s">
        <v>734</v>
      </c>
      <c r="S12" s="331" t="s">
        <v>232</v>
      </c>
      <c r="T12" s="329" t="s">
        <v>306</v>
      </c>
      <c r="U12" s="329" t="s">
        <v>419</v>
      </c>
      <c r="V12" s="329" t="s">
        <v>420</v>
      </c>
      <c r="W12" s="27"/>
      <c r="X12" s="30"/>
      <c r="Y12" s="389">
        <f xml:space="preserve"> 6/6</f>
        <v>1</v>
      </c>
      <c r="Z12" s="389">
        <f xml:space="preserve"> 6/6</f>
        <v>1</v>
      </c>
    </row>
    <row r="13" spans="1:26" s="4" customFormat="1" ht="118.5" customHeight="1" x14ac:dyDescent="0.25">
      <c r="A13" s="22">
        <v>4</v>
      </c>
      <c r="B13" s="329" t="s">
        <v>308</v>
      </c>
      <c r="C13" s="339" t="s">
        <v>307</v>
      </c>
      <c r="D13" s="329"/>
      <c r="E13" s="329" t="s">
        <v>421</v>
      </c>
      <c r="F13" s="26" t="s">
        <v>32</v>
      </c>
      <c r="G13" s="29">
        <v>3</v>
      </c>
      <c r="H13" s="29">
        <v>3</v>
      </c>
      <c r="I13" s="21" t="str">
        <f>INDEX(Listas!$L$4:$P$8,G13,H13)</f>
        <v>ALTA</v>
      </c>
      <c r="J13" s="327" t="s">
        <v>503</v>
      </c>
      <c r="K13" s="28" t="s">
        <v>228</v>
      </c>
      <c r="L13" s="28" t="str">
        <f>IF('[7]Evaluación de Controles'!F22="X","Probabilidad",IF('[7]Evaluación de Controles'!H22="X","Impacto",))</f>
        <v>Probabilidad</v>
      </c>
      <c r="M13" s="496">
        <v>70</v>
      </c>
      <c r="N13" s="329">
        <v>2</v>
      </c>
      <c r="O13" s="329">
        <v>3</v>
      </c>
      <c r="P13" s="21" t="s">
        <v>53</v>
      </c>
      <c r="Q13" s="28" t="s">
        <v>236</v>
      </c>
      <c r="R13" s="332" t="s">
        <v>735</v>
      </c>
      <c r="S13" s="249" t="s">
        <v>232</v>
      </c>
      <c r="T13" s="332" t="s">
        <v>306</v>
      </c>
      <c r="U13" s="332" t="s">
        <v>736</v>
      </c>
      <c r="V13" s="332" t="s">
        <v>309</v>
      </c>
      <c r="W13" s="27"/>
      <c r="X13" s="29"/>
      <c r="Y13" s="389">
        <f xml:space="preserve"> 6/6</f>
        <v>1</v>
      </c>
      <c r="Z13" s="389">
        <f xml:space="preserve"> 6/6</f>
        <v>1</v>
      </c>
    </row>
    <row r="14" spans="1:26" ht="15" x14ac:dyDescent="0.2">
      <c r="B14" s="6"/>
      <c r="C14" s="7"/>
      <c r="D14" s="8"/>
      <c r="E14" s="9"/>
      <c r="F14" s="9"/>
      <c r="G14" s="9"/>
      <c r="H14" s="9"/>
      <c r="I14" s="10"/>
      <c r="J14" s="19"/>
      <c r="K14" s="19"/>
      <c r="L14" s="9"/>
      <c r="M14" s="11"/>
      <c r="Y14" s="431"/>
    </row>
    <row r="15" spans="1:26" x14ac:dyDescent="0.2">
      <c r="B15" s="12"/>
      <c r="C15" s="12"/>
      <c r="D15" s="12"/>
      <c r="E15" s="12"/>
      <c r="F15" s="12"/>
      <c r="G15" s="541" t="s">
        <v>97</v>
      </c>
      <c r="H15" s="541"/>
      <c r="I15" s="36">
        <f>COUNTIF(I10:I13,"BAJA")</f>
        <v>0</v>
      </c>
      <c r="J15" s="19"/>
      <c r="K15" s="19"/>
      <c r="L15" s="9"/>
      <c r="M15" s="11"/>
      <c r="N15" s="541" t="s">
        <v>97</v>
      </c>
      <c r="O15" s="541"/>
      <c r="P15" s="36">
        <f>COUNTIF(P10:P13,"BAJA")</f>
        <v>3</v>
      </c>
    </row>
    <row r="16" spans="1:26" x14ac:dyDescent="0.2">
      <c r="B16" s="571"/>
      <c r="C16" s="571"/>
      <c r="D16" s="571"/>
      <c r="E16" s="571"/>
      <c r="F16" s="571"/>
      <c r="G16" s="541" t="s">
        <v>99</v>
      </c>
      <c r="H16" s="541"/>
      <c r="I16" s="36">
        <f>COUNTIF(I10:I13,"MODERADA")</f>
        <v>2</v>
      </c>
      <c r="J16" s="19"/>
      <c r="K16" s="19"/>
      <c r="L16" s="9"/>
      <c r="M16" s="12"/>
      <c r="N16" s="541" t="s">
        <v>99</v>
      </c>
      <c r="O16" s="541"/>
      <c r="P16" s="36">
        <f>COUNTIF(P10:P13,"MODERADA")</f>
        <v>1</v>
      </c>
    </row>
    <row r="17" spans="2:22" x14ac:dyDescent="0.2">
      <c r="B17" s="9"/>
      <c r="C17" s="229"/>
      <c r="D17" s="9"/>
      <c r="E17" s="9"/>
      <c r="F17" s="9"/>
      <c r="G17" s="541" t="s">
        <v>98</v>
      </c>
      <c r="H17" s="541"/>
      <c r="I17" s="36">
        <f>COUNTIF(I10:I13,"ALTA")</f>
        <v>2</v>
      </c>
      <c r="J17" s="19"/>
      <c r="K17" s="19"/>
      <c r="L17" s="9"/>
      <c r="M17" s="9"/>
      <c r="N17" s="541" t="s">
        <v>98</v>
      </c>
      <c r="O17" s="541"/>
      <c r="P17" s="36">
        <f>COUNTIF(P10:P13,"ALTA")</f>
        <v>0</v>
      </c>
      <c r="Q17" s="5"/>
      <c r="V17" s="5"/>
    </row>
    <row r="18" spans="2:22" ht="15.75" x14ac:dyDescent="0.2">
      <c r="B18" s="341"/>
      <c r="C18" s="229"/>
      <c r="D18" s="9"/>
      <c r="E18" s="340"/>
      <c r="F18" s="12"/>
      <c r="G18" s="541" t="s">
        <v>100</v>
      </c>
      <c r="H18" s="541"/>
      <c r="I18" s="36">
        <f>COUNTIF(I10:I13,"EXTREMA")</f>
        <v>0</v>
      </c>
      <c r="J18" s="19"/>
      <c r="K18" s="19"/>
      <c r="L18" s="9"/>
      <c r="M18" s="11"/>
      <c r="N18" s="541" t="s">
        <v>100</v>
      </c>
      <c r="O18" s="541"/>
      <c r="P18" s="36">
        <f>COUNTIF(P10:P13,"EXTREMA")</f>
        <v>0</v>
      </c>
    </row>
    <row r="19" spans="2:22" x14ac:dyDescent="0.2">
      <c r="D19" s="9"/>
      <c r="E19" s="9"/>
      <c r="G19" s="9"/>
      <c r="H19" s="9"/>
      <c r="I19" s="10"/>
      <c r="J19" s="19"/>
      <c r="K19" s="19"/>
      <c r="L19" s="9"/>
      <c r="M19" s="9" t="s">
        <v>21</v>
      </c>
      <c r="P19" s="5"/>
      <c r="Q19" s="5"/>
      <c r="V19" s="5"/>
    </row>
    <row r="21" spans="2:22" ht="15" x14ac:dyDescent="0.2">
      <c r="B21" s="231"/>
      <c r="C21" s="360"/>
      <c r="D21" s="172"/>
      <c r="E21" s="233"/>
      <c r="F21" s="233"/>
      <c r="G21" s="233"/>
    </row>
    <row r="22" spans="2:22" ht="15" x14ac:dyDescent="0.2">
      <c r="B22" s="363" t="s">
        <v>716</v>
      </c>
      <c r="C22" s="366"/>
      <c r="D22" s="364"/>
      <c r="E22" s="365" t="s">
        <v>654</v>
      </c>
      <c r="F22" s="365"/>
      <c r="G22" s="365"/>
    </row>
    <row r="23" spans="2:22" ht="15" x14ac:dyDescent="0.2">
      <c r="B23" s="232" t="s">
        <v>244</v>
      </c>
      <c r="C23" s="171"/>
      <c r="D23" s="172"/>
      <c r="E23" s="232" t="s">
        <v>245</v>
      </c>
      <c r="F23" s="171"/>
      <c r="G23" s="14"/>
    </row>
  </sheetData>
  <customSheetViews>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1"/>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2"/>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3"/>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5"/>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6"/>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6">
    <mergeCell ref="Y8:Z8"/>
    <mergeCell ref="B1:C3"/>
    <mergeCell ref="E1:U3"/>
    <mergeCell ref="B5:C5"/>
    <mergeCell ref="E5:O5"/>
    <mergeCell ref="P5:Q5"/>
    <mergeCell ref="W8:X8"/>
    <mergeCell ref="Q8:Q9"/>
    <mergeCell ref="R8:R9"/>
    <mergeCell ref="M8:M9"/>
    <mergeCell ref="U8:U9"/>
    <mergeCell ref="S8:S9"/>
    <mergeCell ref="T8:T9"/>
    <mergeCell ref="V8:V9"/>
    <mergeCell ref="B6:C6"/>
    <mergeCell ref="E6:T6"/>
    <mergeCell ref="N18:O18"/>
    <mergeCell ref="G18:H18"/>
    <mergeCell ref="G17:H17"/>
    <mergeCell ref="N15:O15"/>
    <mergeCell ref="N16:O16"/>
    <mergeCell ref="N17:O17"/>
    <mergeCell ref="B16:F16"/>
    <mergeCell ref="N8:O8"/>
    <mergeCell ref="P8:P9"/>
    <mergeCell ref="G15:H15"/>
    <mergeCell ref="G16:H16"/>
    <mergeCell ref="B8:B9"/>
    <mergeCell ref="C8:C9"/>
    <mergeCell ref="D8:D9"/>
    <mergeCell ref="K8:L8"/>
    <mergeCell ref="E8:E9"/>
    <mergeCell ref="F8:F9"/>
    <mergeCell ref="G8:H8"/>
    <mergeCell ref="I8:I9"/>
    <mergeCell ref="J8:J9"/>
  </mergeCells>
  <conditionalFormatting sqref="I7 P7 I14:I1048576 P14:P1048576">
    <cfRule type="cellIs" dxfId="650" priority="70" operator="equal">
      <formula>"BAJA"</formula>
    </cfRule>
  </conditionalFormatting>
  <conditionalFormatting sqref="I7 P7 I14:I1048576 P14:P1048576">
    <cfRule type="cellIs" dxfId="649" priority="67" operator="equal">
      <formula>"EXTREMA"</formula>
    </cfRule>
    <cfRule type="cellIs" dxfId="648" priority="68" operator="equal">
      <formula>"ALTA"</formula>
    </cfRule>
    <cfRule type="cellIs" dxfId="647" priority="69" operator="equal">
      <formula>"MODERADA"</formula>
    </cfRule>
  </conditionalFormatting>
  <conditionalFormatting sqref="F7:G7 G10:H13 F14:G20 N7:O7 F24:G1048576 N14:O1048576">
    <cfRule type="colorScale" priority="66">
      <colorScale>
        <cfvo type="num" val="1"/>
        <cfvo type="num" val="3"/>
        <cfvo type="num" val="5"/>
        <color theme="6" tint="-0.499984740745262"/>
        <color rgb="FFFFFF00"/>
        <color rgb="FFC00000"/>
      </colorScale>
    </cfRule>
  </conditionalFormatting>
  <conditionalFormatting sqref="I10:I13">
    <cfRule type="cellIs" dxfId="646" priority="14" operator="equal">
      <formula>"EXTREMA"</formula>
    </cfRule>
    <cfRule type="cellIs" dxfId="645" priority="15" operator="equal">
      <formula>"ALTA"</formula>
    </cfRule>
    <cfRule type="cellIs" dxfId="644" priority="16" operator="equal">
      <formula>"MODERADA"</formula>
    </cfRule>
    <cfRule type="cellIs" dxfId="643" priority="17" operator="equal">
      <formula>"BAJA"</formula>
    </cfRule>
  </conditionalFormatting>
  <conditionalFormatting sqref="P10:P13">
    <cfRule type="cellIs" dxfId="642" priority="10" operator="equal">
      <formula>"EXTREMA"</formula>
    </cfRule>
    <cfRule type="cellIs" dxfId="641" priority="11" operator="equal">
      <formula>"ALTA"</formula>
    </cfRule>
    <cfRule type="cellIs" dxfId="640" priority="12" operator="equal">
      <formula>"MODERADA"</formula>
    </cfRule>
    <cfRule type="cellIs" dxfId="639" priority="13" operator="equal">
      <formula>"BAJA"</formula>
    </cfRule>
  </conditionalFormatting>
  <conditionalFormatting sqref="N10:O13">
    <cfRule type="colorScale" priority="9">
      <colorScale>
        <cfvo type="num" val="1"/>
        <cfvo type="num" val="3"/>
        <cfvo type="num" val="5"/>
        <color theme="6" tint="-0.499984740745262"/>
        <color rgb="FFFFFF00"/>
        <color rgb="FFC00000"/>
      </colorScale>
    </cfRule>
  </conditionalFormatting>
  <conditionalFormatting sqref="G8:H9 N8:O9">
    <cfRule type="colorScale" priority="4">
      <colorScale>
        <cfvo type="num" val="1"/>
        <cfvo type="num" val="3"/>
        <cfvo type="num" val="5"/>
        <color theme="6" tint="-0.499984740745262"/>
        <color rgb="FFFFFF00"/>
        <color rgb="FFC00000"/>
      </colorScale>
    </cfRule>
  </conditionalFormatting>
  <conditionalFormatting sqref="I8:I9 P8:P9">
    <cfRule type="cellIs" dxfId="638" priority="8" operator="equal">
      <formula>"BAJA"</formula>
    </cfRule>
  </conditionalFormatting>
  <conditionalFormatting sqref="I8:I9 P8:P9">
    <cfRule type="cellIs" dxfId="637" priority="5" operator="equal">
      <formula>"EXTREMA"</formula>
    </cfRule>
    <cfRule type="cellIs" dxfId="636" priority="6" operator="equal">
      <formula>"ALTA"</formula>
    </cfRule>
    <cfRule type="cellIs" dxfId="635" priority="7" operator="equal">
      <formula>"MODERADA"</formula>
    </cfRule>
  </conditionalFormatting>
  <conditionalFormatting sqref="F4:G4 N4:O4">
    <cfRule type="colorScale" priority="3">
      <colorScale>
        <cfvo type="num" val="1"/>
        <cfvo type="num" val="3"/>
        <cfvo type="num" val="5"/>
        <color theme="6" tint="-0.499984740745262"/>
        <color rgb="FFFFFF00"/>
        <color rgb="FFC00000"/>
      </colorScale>
    </cfRule>
  </conditionalFormatting>
  <conditionalFormatting sqref="F21:G2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6692913385826772" top="0.47244094488188981" bottom="0.43307086614173229" header="0.31496062992125984" footer="0.15748031496062992"/>
  <pageSetup paperSize="5" scale="50" fitToHeight="0" orientation="landscape" r:id="rId20"/>
  <drawing r:id="rId21"/>
  <legacyDrawing r:id="rId22"/>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Listas!$A$4:$A$10</xm:f>
          </x14:formula1>
          <xm:sqref>F10:F13</xm:sqref>
        </x14:dataValidation>
        <x14:dataValidation type="list" showInputMessage="1" showErrorMessage="1" xr:uid="{00000000-0002-0000-0400-000001000000}">
          <x14:formula1>
            <xm:f>Listas!$C$4:$C$7</xm:f>
          </x14:formula1>
          <xm:sqref>K10:K13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autoPageBreaks="0"/>
  </sheetPr>
  <dimension ref="A1:Z32"/>
  <sheetViews>
    <sheetView topLeftCell="E2" zoomScale="70" zoomScaleNormal="70" workbookViewId="0">
      <selection activeCell="Y11" sqref="Y11"/>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1.710937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19.140625" style="229" customWidth="1"/>
    <col min="21" max="21" width="16.7109375" style="229" customWidth="1"/>
    <col min="22" max="22" width="40.42578125" style="18" customWidth="1"/>
    <col min="23" max="24" width="36.7109375" style="229" hidden="1" customWidth="1"/>
    <col min="25" max="25" width="21.42578125" style="229" customWidth="1"/>
    <col min="26" max="26" width="16.42578125" style="229" customWidth="1"/>
    <col min="27" max="16384" width="11.42578125" style="229"/>
  </cols>
  <sheetData>
    <row r="1" spans="1:26" ht="30.75" customHeight="1" x14ac:dyDescent="0.2">
      <c r="B1" s="555"/>
      <c r="C1" s="555"/>
      <c r="E1" s="556" t="s">
        <v>389</v>
      </c>
      <c r="F1" s="556"/>
      <c r="G1" s="556"/>
      <c r="H1" s="556"/>
      <c r="I1" s="556"/>
      <c r="J1" s="556"/>
      <c r="K1" s="556"/>
      <c r="L1" s="556"/>
      <c r="M1" s="556"/>
      <c r="N1" s="556"/>
      <c r="O1" s="556"/>
      <c r="P1" s="556"/>
      <c r="Q1" s="556"/>
      <c r="R1" s="556"/>
      <c r="S1" s="556"/>
      <c r="T1" s="556"/>
      <c r="U1" s="556"/>
      <c r="V1" s="324" t="s">
        <v>594</v>
      </c>
    </row>
    <row r="2" spans="1:26" ht="30.75" customHeight="1" x14ac:dyDescent="0.3">
      <c r="B2" s="555"/>
      <c r="C2" s="555"/>
      <c r="D2" s="314" t="s">
        <v>334</v>
      </c>
      <c r="E2" s="556"/>
      <c r="F2" s="556"/>
      <c r="G2" s="556"/>
      <c r="H2" s="556"/>
      <c r="I2" s="556"/>
      <c r="J2" s="556"/>
      <c r="K2" s="556"/>
      <c r="L2" s="556"/>
      <c r="M2" s="556"/>
      <c r="N2" s="556"/>
      <c r="O2" s="556"/>
      <c r="P2" s="556"/>
      <c r="Q2" s="556"/>
      <c r="R2" s="556"/>
      <c r="S2" s="556"/>
      <c r="T2" s="556"/>
      <c r="U2" s="556"/>
      <c r="V2" s="324" t="s">
        <v>595</v>
      </c>
    </row>
    <row r="3" spans="1:26" ht="30.75" customHeight="1" x14ac:dyDescent="0.3">
      <c r="B3" s="555"/>
      <c r="C3" s="555"/>
      <c r="D3" s="314" t="s">
        <v>16</v>
      </c>
      <c r="E3" s="556"/>
      <c r="F3" s="556"/>
      <c r="G3" s="556"/>
      <c r="H3" s="556"/>
      <c r="I3" s="556"/>
      <c r="J3" s="556"/>
      <c r="K3" s="556"/>
      <c r="L3" s="556"/>
      <c r="M3" s="556"/>
      <c r="N3" s="556"/>
      <c r="O3" s="556"/>
      <c r="P3" s="556"/>
      <c r="Q3" s="556"/>
      <c r="R3" s="556"/>
      <c r="S3" s="556"/>
      <c r="T3" s="556"/>
      <c r="U3" s="556"/>
      <c r="V3" s="324" t="s">
        <v>596</v>
      </c>
    </row>
    <row r="4" spans="1:26"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18"/>
    </row>
    <row r="5" spans="1:26" s="253" customFormat="1" ht="24" customHeight="1" x14ac:dyDescent="0.25">
      <c r="A5" s="252"/>
      <c r="B5" s="553" t="s">
        <v>0</v>
      </c>
      <c r="C5" s="554"/>
      <c r="D5" s="316" t="s">
        <v>335</v>
      </c>
      <c r="E5" s="557" t="s">
        <v>394</v>
      </c>
      <c r="F5" s="557"/>
      <c r="G5" s="557"/>
      <c r="H5" s="557"/>
      <c r="I5" s="557"/>
      <c r="J5" s="557"/>
      <c r="K5" s="557"/>
      <c r="L5" s="557"/>
      <c r="M5" s="557"/>
      <c r="N5" s="557"/>
      <c r="O5" s="558"/>
      <c r="P5" s="553" t="s">
        <v>25</v>
      </c>
      <c r="Q5" s="554"/>
      <c r="R5" s="316">
        <v>2020</v>
      </c>
      <c r="S5" s="317"/>
      <c r="T5" s="318"/>
    </row>
    <row r="6" spans="1:26" s="253" customFormat="1" ht="62.25" customHeight="1" x14ac:dyDescent="0.25">
      <c r="A6" s="252"/>
      <c r="B6" s="553" t="s">
        <v>1</v>
      </c>
      <c r="C6" s="554"/>
      <c r="D6" s="319"/>
      <c r="E6" s="583" t="s">
        <v>506</v>
      </c>
      <c r="F6" s="583"/>
      <c r="G6" s="583"/>
      <c r="H6" s="583"/>
      <c r="I6" s="583"/>
      <c r="J6" s="583"/>
      <c r="K6" s="583"/>
      <c r="L6" s="583"/>
      <c r="M6" s="583"/>
      <c r="N6" s="583"/>
      <c r="O6" s="583"/>
      <c r="P6" s="583"/>
      <c r="Q6" s="583"/>
      <c r="R6" s="583"/>
      <c r="S6" s="583"/>
      <c r="T6" s="584"/>
    </row>
    <row r="7" spans="1:26" s="253" customFormat="1" ht="15.75" thickBot="1" x14ac:dyDescent="0.3">
      <c r="A7" s="252"/>
      <c r="B7" s="255"/>
      <c r="C7" s="255"/>
      <c r="I7" s="254"/>
      <c r="J7" s="256"/>
      <c r="K7" s="256"/>
      <c r="P7" s="254"/>
      <c r="Q7" s="254"/>
      <c r="V7" s="254"/>
    </row>
    <row r="8" spans="1:26" s="258" customFormat="1" ht="30" customHeight="1" thickBot="1" x14ac:dyDescent="0.3">
      <c r="A8" s="257"/>
      <c r="B8" s="546" t="s">
        <v>2</v>
      </c>
      <c r="C8" s="546" t="s">
        <v>3</v>
      </c>
      <c r="D8" s="546" t="s">
        <v>4</v>
      </c>
      <c r="E8" s="546" t="s">
        <v>5</v>
      </c>
      <c r="F8" s="549" t="s">
        <v>28</v>
      </c>
      <c r="G8" s="546" t="s">
        <v>213</v>
      </c>
      <c r="H8" s="546"/>
      <c r="I8" s="547" t="s">
        <v>24</v>
      </c>
      <c r="J8" s="542" t="s">
        <v>11</v>
      </c>
      <c r="K8" s="544" t="s">
        <v>35</v>
      </c>
      <c r="L8" s="545"/>
      <c r="M8" s="562" t="s">
        <v>211</v>
      </c>
      <c r="N8" s="546" t="s">
        <v>214</v>
      </c>
      <c r="O8" s="546"/>
      <c r="P8" s="547" t="s">
        <v>24</v>
      </c>
      <c r="Q8" s="549" t="s">
        <v>10</v>
      </c>
      <c r="R8" s="546" t="s">
        <v>8</v>
      </c>
      <c r="S8" s="586" t="s">
        <v>17</v>
      </c>
      <c r="T8" s="546" t="s">
        <v>262</v>
      </c>
      <c r="U8" s="542" t="s">
        <v>215</v>
      </c>
      <c r="V8" s="546" t="s">
        <v>9</v>
      </c>
      <c r="W8" s="566" t="s">
        <v>216</v>
      </c>
      <c r="X8" s="585"/>
      <c r="Y8" s="551" t="s">
        <v>623</v>
      </c>
      <c r="Z8" s="552"/>
    </row>
    <row r="9" spans="1:26" s="258" customFormat="1" ht="87" customHeight="1" thickBot="1" x14ac:dyDescent="0.3">
      <c r="A9" s="257"/>
      <c r="B9" s="546"/>
      <c r="C9" s="546"/>
      <c r="D9" s="546"/>
      <c r="E9" s="546"/>
      <c r="F9" s="549"/>
      <c r="G9" s="282" t="s">
        <v>6</v>
      </c>
      <c r="H9" s="259" t="s">
        <v>7</v>
      </c>
      <c r="I9" s="548"/>
      <c r="J9" s="543"/>
      <c r="K9" s="260" t="s">
        <v>229</v>
      </c>
      <c r="L9" s="261" t="s">
        <v>230</v>
      </c>
      <c r="M9" s="563"/>
      <c r="N9" s="262" t="s">
        <v>6</v>
      </c>
      <c r="O9" s="263" t="s">
        <v>7</v>
      </c>
      <c r="P9" s="548"/>
      <c r="Q9" s="549"/>
      <c r="R9" s="546"/>
      <c r="S9" s="586"/>
      <c r="T9" s="546"/>
      <c r="U9" s="543"/>
      <c r="V9" s="546"/>
      <c r="W9" s="247" t="s">
        <v>206</v>
      </c>
      <c r="X9" s="427" t="s">
        <v>207</v>
      </c>
      <c r="Y9" s="429" t="s">
        <v>658</v>
      </c>
      <c r="Z9" s="430" t="s">
        <v>659</v>
      </c>
    </row>
    <row r="10" spans="1:26" s="253" customFormat="1" ht="85.5" x14ac:dyDescent="0.25">
      <c r="A10" s="283"/>
      <c r="B10" s="265" t="s">
        <v>426</v>
      </c>
      <c r="C10" s="266" t="s">
        <v>479</v>
      </c>
      <c r="D10" s="265"/>
      <c r="E10" s="265" t="s">
        <v>423</v>
      </c>
      <c r="F10" s="267" t="s">
        <v>32</v>
      </c>
      <c r="G10" s="265">
        <v>4</v>
      </c>
      <c r="H10" s="265">
        <v>3</v>
      </c>
      <c r="I10" s="268" t="str">
        <f>INDEX(Listas!$L$4:$P$8,G10,H10)</f>
        <v>ALTA</v>
      </c>
      <c r="J10" s="269" t="s">
        <v>425</v>
      </c>
      <c r="K10" s="270" t="s">
        <v>226</v>
      </c>
      <c r="L10" s="28" t="str">
        <f>IF('[7]Evaluación de Controles'!F19="X","Probabilidad",IF('[7]Evaluación de Controles'!#REF!="X","Impacto",))</f>
        <v>Probabilidad</v>
      </c>
      <c r="M10" s="491">
        <f>'[7]Evaluación de Controles'!X25</f>
        <v>85</v>
      </c>
      <c r="N10" s="265">
        <f>IF('[7]Evaluación de Controles'!F25="X",IF(M10&gt;75,IF(G10&gt;2,G10-2,IF(G10&gt;1,G10-1,G10)),IF(M10&gt;50,IF(G10&gt;1,G10-1,G10),G10)),G10)</f>
        <v>2</v>
      </c>
      <c r="O10" s="265">
        <f>IF('[7]Evaluación de Controles'!H25="X",IF(M10&gt;75,IF(H10&gt;2,H10-2,IF(H10&gt;1,H10-1,H10)),IF(M10&gt;50,IF(H10&gt;1,H10-1,H10),H10)),H10)</f>
        <v>1</v>
      </c>
      <c r="P10" s="268" t="str">
        <f>INDEX([7]Listas!$L$4:$P$8,N10,O10)</f>
        <v>BAJA</v>
      </c>
      <c r="Q10" s="270" t="s">
        <v>266</v>
      </c>
      <c r="R10" s="265" t="s">
        <v>480</v>
      </c>
      <c r="S10" s="270" t="s">
        <v>264</v>
      </c>
      <c r="T10" s="265" t="s">
        <v>263</v>
      </c>
      <c r="U10" s="265" t="s">
        <v>424</v>
      </c>
      <c r="V10" s="265" t="s">
        <v>422</v>
      </c>
      <c r="W10" s="294"/>
      <c r="X10" s="272"/>
      <c r="Y10" s="428">
        <f>13/22</f>
        <v>0.59090909090909094</v>
      </c>
      <c r="Z10" s="428">
        <f>20/22</f>
        <v>0.90909090909090906</v>
      </c>
    </row>
    <row r="11" spans="1:26" x14ac:dyDescent="0.2">
      <c r="D11" s="9"/>
      <c r="I11" s="229"/>
      <c r="J11" s="229"/>
      <c r="K11" s="229"/>
      <c r="P11" s="229"/>
      <c r="Q11" s="229"/>
      <c r="V11" s="229"/>
      <c r="Y11" s="410"/>
    </row>
    <row r="12" spans="1:26" x14ac:dyDescent="0.2">
      <c r="D12" s="9"/>
      <c r="G12" s="541" t="s">
        <v>97</v>
      </c>
      <c r="H12" s="541"/>
      <c r="I12" s="36">
        <f>COUNTIF(I10:I10,"BAJA")</f>
        <v>0</v>
      </c>
      <c r="J12" s="229"/>
      <c r="K12" s="229"/>
      <c r="N12" s="541" t="s">
        <v>97</v>
      </c>
      <c r="O12" s="541"/>
      <c r="P12" s="36">
        <f>COUNTIF(P10:P10,"BAJA")</f>
        <v>1</v>
      </c>
      <c r="Q12" s="229"/>
      <c r="V12" s="229"/>
    </row>
    <row r="13" spans="1:26" x14ac:dyDescent="0.2">
      <c r="D13" s="9"/>
      <c r="G13" s="541" t="s">
        <v>99</v>
      </c>
      <c r="H13" s="541"/>
      <c r="I13" s="36">
        <f>COUNTIF(I10:I10,"MODERADA")</f>
        <v>0</v>
      </c>
      <c r="J13" s="229"/>
      <c r="K13" s="229"/>
      <c r="N13" s="541" t="s">
        <v>99</v>
      </c>
      <c r="O13" s="541"/>
      <c r="P13" s="36">
        <f>COUNTIF(P10:P10,"MODERADA")</f>
        <v>0</v>
      </c>
      <c r="Q13" s="229"/>
      <c r="V13" s="229"/>
    </row>
    <row r="14" spans="1:26" x14ac:dyDescent="0.2">
      <c r="B14" s="9"/>
      <c r="C14" s="9"/>
      <c r="D14" s="9"/>
      <c r="E14" s="9"/>
      <c r="G14" s="541" t="s">
        <v>98</v>
      </c>
      <c r="H14" s="541"/>
      <c r="I14" s="36">
        <f>COUNTIF(I10:I10,"ALTA")</f>
        <v>1</v>
      </c>
      <c r="J14" s="229"/>
      <c r="K14" s="229"/>
      <c r="N14" s="541" t="s">
        <v>98</v>
      </c>
      <c r="O14" s="541"/>
      <c r="P14" s="36">
        <f>COUNTIF(P10:P10,"ALTA")</f>
        <v>0</v>
      </c>
      <c r="Q14" s="229"/>
      <c r="V14" s="229"/>
    </row>
    <row r="15" spans="1:26" ht="15.75" x14ac:dyDescent="0.2">
      <c r="B15" s="341"/>
      <c r="C15" s="9"/>
      <c r="D15" s="9"/>
      <c r="E15" s="340"/>
      <c r="G15" s="541" t="s">
        <v>100</v>
      </c>
      <c r="H15" s="541"/>
      <c r="I15" s="36">
        <f>COUNTIF(I10:I10,"EXTREMA")</f>
        <v>0</v>
      </c>
      <c r="J15" s="229"/>
      <c r="K15" s="229"/>
      <c r="N15" s="541" t="s">
        <v>100</v>
      </c>
      <c r="O15" s="541"/>
      <c r="P15" s="36">
        <f>COUNTIF(P10:P10,"EXTREMA")</f>
        <v>0</v>
      </c>
      <c r="Q15" s="229"/>
      <c r="V15" s="229"/>
    </row>
    <row r="16" spans="1:26" x14ac:dyDescent="0.2">
      <c r="D16" s="9"/>
      <c r="I16" s="229"/>
      <c r="J16" s="229"/>
      <c r="K16" s="229"/>
      <c r="P16" s="229"/>
      <c r="Q16" s="229"/>
      <c r="V16" s="229"/>
    </row>
    <row r="17" spans="2:22" x14ac:dyDescent="0.2">
      <c r="D17" s="9"/>
      <c r="I17" s="229"/>
      <c r="J17" s="229"/>
      <c r="K17" s="229"/>
      <c r="P17" s="229"/>
      <c r="Q17" s="229"/>
      <c r="V17" s="229"/>
    </row>
    <row r="18" spans="2:22" x14ac:dyDescent="0.2">
      <c r="D18" s="9"/>
      <c r="I18" s="229"/>
      <c r="J18" s="229"/>
      <c r="K18" s="229"/>
      <c r="P18" s="229"/>
      <c r="Q18" s="229"/>
      <c r="V18" s="229"/>
    </row>
    <row r="19" spans="2:22" x14ac:dyDescent="0.2">
      <c r="D19" s="9"/>
      <c r="I19" s="229"/>
      <c r="J19" s="229"/>
      <c r="K19" s="229"/>
      <c r="P19" s="229"/>
      <c r="Q19" s="229"/>
      <c r="V19" s="229"/>
    </row>
    <row r="20" spans="2:22" ht="15" x14ac:dyDescent="0.2">
      <c r="B20" s="231"/>
      <c r="C20" s="360"/>
      <c r="D20" s="172"/>
      <c r="E20" s="233"/>
      <c r="F20" s="233"/>
      <c r="G20" s="233"/>
      <c r="I20" s="229"/>
      <c r="J20" s="229"/>
      <c r="K20" s="229"/>
      <c r="P20" s="229"/>
      <c r="Q20" s="229"/>
      <c r="V20" s="229"/>
    </row>
    <row r="21" spans="2:22" ht="15" x14ac:dyDescent="0.2">
      <c r="B21" s="363" t="s">
        <v>656</v>
      </c>
      <c r="C21" s="366"/>
      <c r="D21" s="364"/>
      <c r="E21" s="365" t="s">
        <v>654</v>
      </c>
      <c r="F21" s="365"/>
      <c r="G21" s="365"/>
      <c r="I21" s="229"/>
      <c r="J21" s="229"/>
      <c r="K21" s="229"/>
      <c r="P21" s="229"/>
      <c r="Q21" s="229"/>
      <c r="V21" s="229"/>
    </row>
    <row r="22" spans="2:22" ht="15" x14ac:dyDescent="0.2">
      <c r="B22" s="232" t="s">
        <v>244</v>
      </c>
      <c r="C22" s="171"/>
      <c r="D22" s="172"/>
      <c r="E22" s="232" t="s">
        <v>245</v>
      </c>
      <c r="F22" s="171"/>
      <c r="G22" s="14"/>
      <c r="I22" s="229"/>
      <c r="J22" s="229"/>
      <c r="K22" s="229"/>
      <c r="P22" s="229"/>
      <c r="Q22" s="229"/>
      <c r="V22" s="229"/>
    </row>
    <row r="23" spans="2:22" x14ac:dyDescent="0.2">
      <c r="D23" s="9"/>
      <c r="I23" s="229"/>
      <c r="J23" s="229"/>
      <c r="K23" s="229"/>
      <c r="P23" s="229"/>
      <c r="Q23" s="229"/>
      <c r="V23" s="229"/>
    </row>
    <row r="24" spans="2:22" x14ac:dyDescent="0.2">
      <c r="D24" s="9"/>
      <c r="I24" s="229"/>
      <c r="J24" s="229"/>
      <c r="K24" s="229"/>
      <c r="P24" s="229"/>
      <c r="Q24" s="229"/>
      <c r="V24" s="229"/>
    </row>
    <row r="25" spans="2:22" x14ac:dyDescent="0.2">
      <c r="D25" s="9"/>
      <c r="I25" s="229"/>
      <c r="J25" s="229"/>
      <c r="K25" s="229"/>
      <c r="P25" s="229"/>
      <c r="Q25" s="229"/>
      <c r="V25" s="229"/>
    </row>
    <row r="26" spans="2:22" x14ac:dyDescent="0.2">
      <c r="D26" s="9"/>
      <c r="I26" s="229"/>
      <c r="J26" s="229"/>
      <c r="K26" s="229"/>
      <c r="P26" s="229"/>
      <c r="Q26" s="229"/>
      <c r="V26" s="229"/>
    </row>
    <row r="27" spans="2:22" x14ac:dyDescent="0.2">
      <c r="D27" s="9"/>
      <c r="I27" s="229"/>
      <c r="J27" s="229"/>
      <c r="K27" s="229"/>
      <c r="P27" s="229"/>
      <c r="Q27" s="229"/>
      <c r="V27" s="229"/>
    </row>
    <row r="28" spans="2:22" x14ac:dyDescent="0.2">
      <c r="D28" s="9"/>
      <c r="I28" s="229"/>
      <c r="J28" s="229"/>
      <c r="K28" s="229"/>
      <c r="P28" s="229"/>
      <c r="Q28" s="229"/>
      <c r="V28" s="229"/>
    </row>
    <row r="29" spans="2:22" x14ac:dyDescent="0.2">
      <c r="D29" s="9"/>
      <c r="I29" s="229"/>
      <c r="J29" s="229"/>
      <c r="K29" s="229"/>
      <c r="P29" s="229"/>
      <c r="Q29" s="229"/>
      <c r="V29" s="229"/>
    </row>
    <row r="30" spans="2:22" x14ac:dyDescent="0.2">
      <c r="D30" s="9"/>
      <c r="I30" s="229"/>
      <c r="J30" s="229"/>
      <c r="K30" s="229"/>
      <c r="P30" s="229"/>
      <c r="Q30" s="229"/>
      <c r="V30" s="229"/>
    </row>
    <row r="31" spans="2:22" x14ac:dyDescent="0.2">
      <c r="D31" s="9"/>
      <c r="I31" s="229"/>
      <c r="J31" s="229"/>
      <c r="K31" s="229"/>
      <c r="P31" s="229"/>
      <c r="Q31" s="229"/>
      <c r="V31" s="229"/>
    </row>
    <row r="32" spans="2:22" x14ac:dyDescent="0.2">
      <c r="D32" s="9"/>
      <c r="I32" s="229"/>
      <c r="J32" s="229"/>
      <c r="K32" s="229"/>
      <c r="P32" s="229"/>
      <c r="Q32" s="229"/>
      <c r="V32" s="229"/>
    </row>
  </sheetData>
  <customSheetViews>
    <customSheetView guid="{B83C9EB8-C964-4489-98C8-19C81BFAE010}" scale="70" fitToPage="1" hiddenColumns="1">
      <selection activeCell="AA9" sqref="AA9"/>
      <pageMargins left="0.9" right="0.18" top="0.93" bottom="0.73" header="0.31496062992125984" footer="0.17"/>
      <printOptions horizontalCentered="1"/>
      <pageSetup paperSize="5" scale="95" fitToHeight="0" orientation="landscape" r:id="rId1"/>
    </customSheetView>
    <customSheetView guid="{42BB51DB-DC3E-4DA5-9499-5574EB19780E}" scale="70" fitToPage="1" hiddenColumns="1">
      <selection activeCell="AA9" sqref="AA9"/>
      <pageMargins left="0.9" right="0.18" top="0.93" bottom="0.73" header="0.31496062992125984" footer="0.17"/>
      <printOptions horizontalCentered="1"/>
      <pageSetup paperSize="5" scale="95" fitToHeight="0" orientation="landscape" r:id="rId2"/>
    </customSheetView>
    <customSheetView guid="{D8BB7E15-0E8F-45FC-AD1A-6D8C295A087C}" scale="70" fitToPage="1" hiddenColumns="1">
      <selection activeCell="AA9" sqref="AA9"/>
      <pageMargins left="0.9" right="0.18" top="0.93" bottom="0.73" header="0.31496062992125984" footer="0.17"/>
      <printOptions horizontalCentered="1"/>
      <pageSetup paperSize="5" scale="95" fitToHeight="0" orientation="landscape" r:id="rId3"/>
    </customSheetView>
    <customSheetView guid="{F7D68F61-F89A-4541-9A78-C25C58CA23E3}"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scale="70" fitToPage="1" printArea="1" hiddenColumns="1">
      <selection activeCell="AA9" sqref="AA9"/>
      <pageMargins left="0.9" right="0.18" top="0.93" bottom="0.73" header="0.31496062992125984" footer="0.17"/>
      <printOptions horizontalCentered="1"/>
      <pageSetup paperSize="5" scale="95" fitToHeight="0" orientation="landscape" r:id="rId10"/>
    </customSheetView>
    <customSheetView guid="{C8C25E0F-313C-40E1-BC27-B55128053FAD}" scale="70" fitToPage="1" printArea="1" hiddenColumns="1">
      <selection activeCell="AA9" sqref="AA9"/>
      <pageMargins left="0.9" right="0.18" top="0.93" bottom="0.73" header="0.31496062992125984" footer="0.17"/>
      <printOptions horizontalCentered="1"/>
      <pageSetup paperSize="5" scale="95" fitToHeight="0" orientation="landscape" r:id="rId11"/>
    </customSheetView>
    <customSheetView guid="{D674221F-3F50-45D7-B99E-107AE99970DE}" scale="70" fitToPage="1" printArea="1" hiddenColumns="1">
      <selection activeCell="AA9" sqref="AA9"/>
      <pageMargins left="0.9" right="0.18" top="0.93" bottom="0.73" header="0.31496062992125984" footer="0.17"/>
      <printOptions horizontalCentered="1"/>
      <pageSetup paperSize="5" scale="95" fitToHeight="0" orientation="landscape" r:id="rId12"/>
    </customSheetView>
    <customSheetView guid="{E51A7B7A-B72C-4D0D-BEC9-3100296DDB1B}" scale="70" fitToPage="1" printArea="1" hiddenColumns="1">
      <selection activeCell="AA9" sqref="AA9"/>
      <pageMargins left="0.9" right="0.18" top="0.93" bottom="0.73" header="0.31496062992125984" footer="0.17"/>
      <printOptions horizontalCentered="1"/>
      <pageSetup paperSize="5" scale="95" fitToHeight="0" orientation="landscape" r:id="rId13"/>
    </customSheetView>
    <customSheetView guid="{C9A17BF0-2451-44C4-898F-CFB8403323EA}" scale="70" fitToPage="1" printArea="1" hiddenColumns="1">
      <selection activeCell="AA9" sqref="AA9"/>
      <pageMargins left="0.9" right="0.18" top="0.93" bottom="0.73" header="0.31496062992125984" footer="0.17"/>
      <printOptions horizontalCentered="1"/>
      <pageSetup paperSize="5" scale="95" fitToHeight="0" orientation="landscape" r:id="rId14"/>
    </customSheetView>
    <customSheetView guid="{DC041AD4-35AB-4F1B-9F3D-F08C88A9A16C}" scale="70" fitToPage="1" printArea="1" hiddenColumns="1">
      <selection activeCell="AA9" sqref="AA9"/>
      <pageMargins left="0.9" right="0.18" top="0.93" bottom="0.73" header="0.31496062992125984" footer="0.17"/>
      <printOptions horizontalCentered="1"/>
      <pageSetup paperSize="5" scale="95" fitToHeight="0" orientation="landscape" r:id="rId15"/>
    </customSheetView>
    <customSheetView guid="{CC42E740-ADA2-4B3E-AB77-9BBCCE9EC444}" scale="70" fitToPage="1" printArea="1" hiddenColumns="1">
      <selection activeCell="AA9" sqref="AA9"/>
      <pageMargins left="0.9" right="0.18" top="0.93" bottom="0.73" header="0.31496062992125984" footer="0.17"/>
      <printOptions horizontalCentered="1"/>
      <pageSetup paperSize="5" scale="95" fitToHeight="0" orientation="landscape" r:id="rId16"/>
    </customSheetView>
    <customSheetView guid="{AF3BF2A1-5C19-43AE-A08B-3E418E8AE543}" scale="70" fitToPage="1" printArea="1" hiddenColumns="1">
      <selection activeCell="AA9" sqref="AA9"/>
      <pageMargins left="0.9" right="0.18" top="0.93" bottom="0.73" header="0.31496062992125984" footer="0.17"/>
      <printOptions horizontalCentered="1"/>
      <pageSetup paperSize="5" scale="95" fitToHeight="0" orientation="landscape" r:id="rId17"/>
    </customSheetView>
    <customSheetView guid="{ADD38025-F4B2-44E2-9D06-07A9BF0F3A51}" scale="70" fitToPage="1" hiddenColumns="1">
      <selection activeCell="AA9" sqref="AA9"/>
      <pageMargins left="0.9" right="0.18" top="0.93" bottom="0.73" header="0.31496062992125984" footer="0.17"/>
      <printOptions horizontalCentered="1"/>
      <pageSetup paperSize="5" scale="95" fitToHeight="0" orientation="landscape" r:id="rId18"/>
    </customSheetView>
    <customSheetView guid="{97D65C1E-976A-4956-97FC-0E8188ABCFAA}" scale="70" fitToPage="1" hiddenColumns="1">
      <selection activeCell="AA9" sqref="AA9"/>
      <pageMargins left="0.9" right="0.18" top="0.93" bottom="0.73" header="0.31496062992125984" footer="0.17"/>
      <printOptions horizontalCentered="1"/>
      <pageSetup paperSize="5" scale="95" fitToHeight="0" orientation="landscape" r:id="rId19"/>
    </customSheetView>
  </customSheetViews>
  <mergeCells count="35">
    <mergeCell ref="Y8:Z8"/>
    <mergeCell ref="B1:C3"/>
    <mergeCell ref="E1:U3"/>
    <mergeCell ref="B5:C5"/>
    <mergeCell ref="E5:O5"/>
    <mergeCell ref="P5:Q5"/>
    <mergeCell ref="W8:X8"/>
    <mergeCell ref="S8:S9"/>
    <mergeCell ref="T8:T9"/>
    <mergeCell ref="V8:V9"/>
    <mergeCell ref="R8:R9"/>
    <mergeCell ref="M8:M9"/>
    <mergeCell ref="U8:U9"/>
    <mergeCell ref="K8:L8"/>
    <mergeCell ref="Q8:Q9"/>
    <mergeCell ref="B6:C6"/>
    <mergeCell ref="E6:T6"/>
    <mergeCell ref="G8:H8"/>
    <mergeCell ref="I8:I9"/>
    <mergeCell ref="J8:J9"/>
    <mergeCell ref="N8:O8"/>
    <mergeCell ref="P8:P9"/>
    <mergeCell ref="B8:B9"/>
    <mergeCell ref="C8:C9"/>
    <mergeCell ref="D8:D9"/>
    <mergeCell ref="E8:E9"/>
    <mergeCell ref="F8:F9"/>
    <mergeCell ref="G12:H12"/>
    <mergeCell ref="G13:H13"/>
    <mergeCell ref="G14:H14"/>
    <mergeCell ref="G15:H15"/>
    <mergeCell ref="N12:O12"/>
    <mergeCell ref="N13:O13"/>
    <mergeCell ref="N14:O14"/>
    <mergeCell ref="N15:O15"/>
  </mergeCells>
  <conditionalFormatting sqref="I7 P7 I11:I1048576 P11:P1048576">
    <cfRule type="cellIs" dxfId="634" priority="95" operator="equal">
      <formula>"BAJA"</formula>
    </cfRule>
  </conditionalFormatting>
  <conditionalFormatting sqref="I7 P7 I11:I1048576 P11:P1048576">
    <cfRule type="cellIs" dxfId="633" priority="92" operator="equal">
      <formula>"EXTREMA"</formula>
    </cfRule>
    <cfRule type="cellIs" dxfId="632" priority="93" operator="equal">
      <formula>"ALTA"</formula>
    </cfRule>
    <cfRule type="cellIs" dxfId="631" priority="94" operator="equal">
      <formula>"MODERADA"</formula>
    </cfRule>
  </conditionalFormatting>
  <conditionalFormatting sqref="F11:G19 F7:G7 N7:O7 N11:O1048576 G10:H10 F23:G1048576">
    <cfRule type="colorScale" priority="91">
      <colorScale>
        <cfvo type="num" val="1"/>
        <cfvo type="num" val="3"/>
        <cfvo type="num" val="5"/>
        <color theme="6" tint="-0.499984740745262"/>
        <color rgb="FFFFFF00"/>
        <color rgb="FFC00000"/>
      </colorScale>
    </cfRule>
  </conditionalFormatting>
  <conditionalFormatting sqref="I12:I15">
    <cfRule type="cellIs" dxfId="630" priority="90" operator="equal">
      <formula>"BAJA"</formula>
    </cfRule>
  </conditionalFormatting>
  <conditionalFormatting sqref="I12:I15">
    <cfRule type="cellIs" dxfId="629" priority="87" operator="equal">
      <formula>"EXTREMA"</formula>
    </cfRule>
    <cfRule type="cellIs" dxfId="628" priority="88" operator="equal">
      <formula>"ALTA"</formula>
    </cfRule>
    <cfRule type="cellIs" dxfId="627" priority="89" operator="equal">
      <formula>"MODERADA"</formula>
    </cfRule>
  </conditionalFormatting>
  <conditionalFormatting sqref="G12:G15">
    <cfRule type="colorScale" priority="86">
      <colorScale>
        <cfvo type="num" val="1"/>
        <cfvo type="num" val="3"/>
        <cfvo type="num" val="5"/>
        <color theme="6" tint="-0.499984740745262"/>
        <color rgb="FFFFFF00"/>
        <color rgb="FFC00000"/>
      </colorScale>
    </cfRule>
  </conditionalFormatting>
  <conditionalFormatting sqref="I12:I15">
    <cfRule type="cellIs" dxfId="626" priority="85" operator="equal">
      <formula>"BAJA"</formula>
    </cfRule>
  </conditionalFormatting>
  <conditionalFormatting sqref="I12:I15">
    <cfRule type="cellIs" dxfId="625" priority="82" operator="equal">
      <formula>"EXTREMA"</formula>
    </cfRule>
    <cfRule type="cellIs" dxfId="624" priority="83" operator="equal">
      <formula>"ALTA"</formula>
    </cfRule>
    <cfRule type="cellIs" dxfId="623" priority="84" operator="equal">
      <formula>"MODERADA"</formula>
    </cfRule>
  </conditionalFormatting>
  <conditionalFormatting sqref="G12:G15">
    <cfRule type="colorScale" priority="81">
      <colorScale>
        <cfvo type="num" val="1"/>
        <cfvo type="num" val="3"/>
        <cfvo type="num" val="5"/>
        <color theme="6" tint="-0.499984740745262"/>
        <color rgb="FFFFFF00"/>
        <color rgb="FFC00000"/>
      </colorScale>
    </cfRule>
  </conditionalFormatting>
  <conditionalFormatting sqref="I12:I15">
    <cfRule type="cellIs" dxfId="622" priority="80" operator="equal">
      <formula>"BAJA"</formula>
    </cfRule>
  </conditionalFormatting>
  <conditionalFormatting sqref="I12:I15">
    <cfRule type="cellIs" dxfId="621" priority="77" operator="equal">
      <formula>"EXTREMA"</formula>
    </cfRule>
    <cfRule type="cellIs" dxfId="620" priority="78" operator="equal">
      <formula>"ALTA"</formula>
    </cfRule>
    <cfRule type="cellIs" dxfId="619" priority="79" operator="equal">
      <formula>"MODERADA"</formula>
    </cfRule>
  </conditionalFormatting>
  <conditionalFormatting sqref="G12:G15">
    <cfRule type="colorScale" priority="76">
      <colorScale>
        <cfvo type="num" val="1"/>
        <cfvo type="num" val="3"/>
        <cfvo type="num" val="5"/>
        <color theme="6" tint="-0.499984740745262"/>
        <color rgb="FFFFFF00"/>
        <color rgb="FFC00000"/>
      </colorScale>
    </cfRule>
  </conditionalFormatting>
  <conditionalFormatting sqref="I12:I15">
    <cfRule type="cellIs" dxfId="618" priority="75" operator="equal">
      <formula>"BAJA"</formula>
    </cfRule>
  </conditionalFormatting>
  <conditionalFormatting sqref="I12:I15">
    <cfRule type="cellIs" dxfId="617" priority="72" operator="equal">
      <formula>"EXTREMA"</formula>
    </cfRule>
    <cfRule type="cellIs" dxfId="616" priority="73" operator="equal">
      <formula>"ALTA"</formula>
    </cfRule>
    <cfRule type="cellIs" dxfId="615" priority="74" operator="equal">
      <formula>"MODERADA"</formula>
    </cfRule>
  </conditionalFormatting>
  <conditionalFormatting sqref="G12:G15">
    <cfRule type="colorScale" priority="71">
      <colorScale>
        <cfvo type="num" val="1"/>
        <cfvo type="num" val="3"/>
        <cfvo type="num" val="5"/>
        <color theme="6" tint="-0.499984740745262"/>
        <color rgb="FFFFFF00"/>
        <color rgb="FFC00000"/>
      </colorScale>
    </cfRule>
  </conditionalFormatting>
  <conditionalFormatting sqref="I12:I15">
    <cfRule type="cellIs" dxfId="614" priority="70" operator="equal">
      <formula>"BAJA"</formula>
    </cfRule>
  </conditionalFormatting>
  <conditionalFormatting sqref="I12:I15">
    <cfRule type="cellIs" dxfId="613" priority="67" operator="equal">
      <formula>"EXTREMA"</formula>
    </cfRule>
    <cfRule type="cellIs" dxfId="612" priority="68" operator="equal">
      <formula>"ALTA"</formula>
    </cfRule>
    <cfRule type="cellIs" dxfId="611" priority="69" operator="equal">
      <formula>"MODERADA"</formula>
    </cfRule>
  </conditionalFormatting>
  <conditionalFormatting sqref="G12:G15">
    <cfRule type="colorScale" priority="66">
      <colorScale>
        <cfvo type="num" val="1"/>
        <cfvo type="num" val="3"/>
        <cfvo type="num" val="5"/>
        <color theme="6" tint="-0.499984740745262"/>
        <color rgb="FFFFFF00"/>
        <color rgb="FFC00000"/>
      </colorScale>
    </cfRule>
  </conditionalFormatting>
  <conditionalFormatting sqref="I12:I15">
    <cfRule type="cellIs" dxfId="610" priority="65" operator="equal">
      <formula>"BAJA"</formula>
    </cfRule>
  </conditionalFormatting>
  <conditionalFormatting sqref="I12:I15">
    <cfRule type="cellIs" dxfId="609" priority="62" operator="equal">
      <formula>"EXTREMA"</formula>
    </cfRule>
    <cfRule type="cellIs" dxfId="608" priority="63" operator="equal">
      <formula>"ALTA"</formula>
    </cfRule>
    <cfRule type="cellIs" dxfId="607" priority="64" operator="equal">
      <formula>"MODERADA"</formula>
    </cfRule>
  </conditionalFormatting>
  <conditionalFormatting sqref="P12:P15">
    <cfRule type="cellIs" dxfId="606" priority="61" operator="equal">
      <formula>"BAJA"</formula>
    </cfRule>
  </conditionalFormatting>
  <conditionalFormatting sqref="P12:P15">
    <cfRule type="cellIs" dxfId="605" priority="58" operator="equal">
      <formula>"EXTREMA"</formula>
    </cfRule>
    <cfRule type="cellIs" dxfId="604" priority="59" operator="equal">
      <formula>"ALTA"</formula>
    </cfRule>
    <cfRule type="cellIs" dxfId="603" priority="60" operator="equal">
      <formula>"MODERADA"</formula>
    </cfRule>
  </conditionalFormatting>
  <conditionalFormatting sqref="N12:N15">
    <cfRule type="colorScale" priority="57">
      <colorScale>
        <cfvo type="num" val="1"/>
        <cfvo type="num" val="3"/>
        <cfvo type="num" val="5"/>
        <color theme="6" tint="-0.499984740745262"/>
        <color rgb="FFFFFF00"/>
        <color rgb="FFC00000"/>
      </colorScale>
    </cfRule>
  </conditionalFormatting>
  <conditionalFormatting sqref="P12:P15">
    <cfRule type="cellIs" dxfId="602" priority="56" operator="equal">
      <formula>"BAJA"</formula>
    </cfRule>
  </conditionalFormatting>
  <conditionalFormatting sqref="P12:P15">
    <cfRule type="cellIs" dxfId="601" priority="53" operator="equal">
      <formula>"EXTREMA"</formula>
    </cfRule>
    <cfRule type="cellIs" dxfId="600" priority="54" operator="equal">
      <formula>"ALTA"</formula>
    </cfRule>
    <cfRule type="cellIs" dxfId="599" priority="55" operator="equal">
      <formula>"MODERADA"</formula>
    </cfRule>
  </conditionalFormatting>
  <conditionalFormatting sqref="N12:N15">
    <cfRule type="colorScale" priority="52">
      <colorScale>
        <cfvo type="num" val="1"/>
        <cfvo type="num" val="3"/>
        <cfvo type="num" val="5"/>
        <color theme="6" tint="-0.499984740745262"/>
        <color rgb="FFFFFF00"/>
        <color rgb="FFC00000"/>
      </colorScale>
    </cfRule>
  </conditionalFormatting>
  <conditionalFormatting sqref="P12:P15">
    <cfRule type="cellIs" dxfId="598" priority="51" operator="equal">
      <formula>"BAJA"</formula>
    </cfRule>
  </conditionalFormatting>
  <conditionalFormatting sqref="P12:P15">
    <cfRule type="cellIs" dxfId="597" priority="48" operator="equal">
      <formula>"EXTREMA"</formula>
    </cfRule>
    <cfRule type="cellIs" dxfId="596" priority="49" operator="equal">
      <formula>"ALTA"</formula>
    </cfRule>
    <cfRule type="cellIs" dxfId="595" priority="50" operator="equal">
      <formula>"MODERADA"</formula>
    </cfRule>
  </conditionalFormatting>
  <conditionalFormatting sqref="N12:N15">
    <cfRule type="colorScale" priority="47">
      <colorScale>
        <cfvo type="num" val="1"/>
        <cfvo type="num" val="3"/>
        <cfvo type="num" val="5"/>
        <color theme="6" tint="-0.499984740745262"/>
        <color rgb="FFFFFF00"/>
        <color rgb="FFC00000"/>
      </colorScale>
    </cfRule>
  </conditionalFormatting>
  <conditionalFormatting sqref="P12:P15">
    <cfRule type="cellIs" dxfId="594" priority="46" operator="equal">
      <formula>"BAJA"</formula>
    </cfRule>
  </conditionalFormatting>
  <conditionalFormatting sqref="P12:P15">
    <cfRule type="cellIs" dxfId="593" priority="43" operator="equal">
      <formula>"EXTREMA"</formula>
    </cfRule>
    <cfRule type="cellIs" dxfId="592" priority="44" operator="equal">
      <formula>"ALTA"</formula>
    </cfRule>
    <cfRule type="cellIs" dxfId="591" priority="45" operator="equal">
      <formula>"MODERADA"</formula>
    </cfRule>
  </conditionalFormatting>
  <conditionalFormatting sqref="N12:N15">
    <cfRule type="colorScale" priority="42">
      <colorScale>
        <cfvo type="num" val="1"/>
        <cfvo type="num" val="3"/>
        <cfvo type="num" val="5"/>
        <color theme="6" tint="-0.499984740745262"/>
        <color rgb="FFFFFF00"/>
        <color rgb="FFC00000"/>
      </colorScale>
    </cfRule>
  </conditionalFormatting>
  <conditionalFormatting sqref="P12:P15">
    <cfRule type="cellIs" dxfId="590" priority="41" operator="equal">
      <formula>"BAJA"</formula>
    </cfRule>
  </conditionalFormatting>
  <conditionalFormatting sqref="P12:P15">
    <cfRule type="cellIs" dxfId="589" priority="38" operator="equal">
      <formula>"EXTREMA"</formula>
    </cfRule>
    <cfRule type="cellIs" dxfId="588" priority="39" operator="equal">
      <formula>"ALTA"</formula>
    </cfRule>
    <cfRule type="cellIs" dxfId="587" priority="40" operator="equal">
      <formula>"MODERADA"</formula>
    </cfRule>
  </conditionalFormatting>
  <conditionalFormatting sqref="N12:N15">
    <cfRule type="colorScale" priority="37">
      <colorScale>
        <cfvo type="num" val="1"/>
        <cfvo type="num" val="3"/>
        <cfvo type="num" val="5"/>
        <color theme="6" tint="-0.499984740745262"/>
        <color rgb="FFFFFF00"/>
        <color rgb="FFC00000"/>
      </colorScale>
    </cfRule>
  </conditionalFormatting>
  <conditionalFormatting sqref="P12:P15">
    <cfRule type="cellIs" dxfId="586" priority="36" operator="equal">
      <formula>"BAJA"</formula>
    </cfRule>
  </conditionalFormatting>
  <conditionalFormatting sqref="P12:P15">
    <cfRule type="cellIs" dxfId="585" priority="33" operator="equal">
      <formula>"EXTREMA"</formula>
    </cfRule>
    <cfRule type="cellIs" dxfId="584" priority="34" operator="equal">
      <formula>"ALTA"</formula>
    </cfRule>
    <cfRule type="cellIs" dxfId="583" priority="35" operator="equal">
      <formula>"MODERADA"</formula>
    </cfRule>
  </conditionalFormatting>
  <conditionalFormatting sqref="I10">
    <cfRule type="cellIs" dxfId="582" priority="29" operator="equal">
      <formula>"EXTREMA"</formula>
    </cfRule>
    <cfRule type="cellIs" dxfId="581" priority="30" operator="equal">
      <formula>"ALTA"</formula>
    </cfRule>
    <cfRule type="cellIs" dxfId="580" priority="31" operator="equal">
      <formula>"MODERADA"</formula>
    </cfRule>
    <cfRule type="cellIs" dxfId="579" priority="32" operator="equal">
      <formula>"BAJA"</formula>
    </cfRule>
  </conditionalFormatting>
  <conditionalFormatting sqref="I8:I9 P8:P9">
    <cfRule type="cellIs" dxfId="578" priority="23" operator="equal">
      <formula>"BAJA"</formula>
    </cfRule>
  </conditionalFormatting>
  <conditionalFormatting sqref="I8:I9 P8:P9">
    <cfRule type="cellIs" dxfId="577" priority="20" operator="equal">
      <formula>"EXTREMA"</formula>
    </cfRule>
    <cfRule type="cellIs" dxfId="576" priority="21" operator="equal">
      <formula>"ALTA"</formula>
    </cfRule>
    <cfRule type="cellIs" dxfId="575" priority="22" operator="equal">
      <formula>"MODERADA"</formula>
    </cfRule>
  </conditionalFormatting>
  <conditionalFormatting sqref="G8:H9 N8:O9">
    <cfRule type="colorScale" priority="19">
      <colorScale>
        <cfvo type="num" val="1"/>
        <cfvo type="num" val="3"/>
        <cfvo type="num" val="5"/>
        <color theme="6" tint="-0.499984740745262"/>
        <color rgb="FFFFFF00"/>
        <color rgb="FFC00000"/>
      </colorScale>
    </cfRule>
  </conditionalFormatting>
  <conditionalFormatting sqref="F4:G4 N4:O4">
    <cfRule type="colorScale" priority="18">
      <colorScale>
        <cfvo type="num" val="1"/>
        <cfvo type="num" val="3"/>
        <cfvo type="num" val="5"/>
        <color theme="6" tint="-0.499984740745262"/>
        <color rgb="FFFFFF00"/>
        <color rgb="FFC00000"/>
      </colorScale>
    </cfRule>
  </conditionalFormatting>
  <conditionalFormatting sqref="F20:G22">
    <cfRule type="colorScale" priority="11">
      <colorScale>
        <cfvo type="num" val="1"/>
        <cfvo type="num" val="3"/>
        <cfvo type="num" val="5"/>
        <color theme="6" tint="-0.499984740745262"/>
        <color rgb="FFFFFF00"/>
        <color rgb="FFC00000"/>
      </colorScale>
    </cfRule>
  </conditionalFormatting>
  <conditionalFormatting sqref="P10">
    <cfRule type="cellIs" dxfId="574" priority="2" operator="equal">
      <formula>"EXTREMA"</formula>
    </cfRule>
    <cfRule type="cellIs" dxfId="573" priority="3" operator="equal">
      <formula>"ALTA"</formula>
    </cfRule>
    <cfRule type="cellIs" dxfId="572" priority="4" operator="equal">
      <formula>"MODERADA"</formula>
    </cfRule>
    <cfRule type="cellIs" dxfId="571" priority="5" operator="equal">
      <formula>"BAJA"</formula>
    </cfRule>
  </conditionalFormatting>
  <conditionalFormatting sqref="N10:O10">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98425196850393704" top="0.94488188976377963" bottom="0.74803149606299213" header="0.31496062992125984" footer="0.15748031496062992"/>
  <pageSetup paperSize="5" scale="5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500-000000000000}">
          <x14:formula1>
            <xm:f>Listas!$A$4:$A$10</xm:f>
          </x14:formula1>
          <xm:sqref>F10</xm:sqref>
        </x14:dataValidation>
        <x14:dataValidation type="list" showInputMessage="1" showErrorMessage="1" xr:uid="{00000000-0002-0000-0500-000001000000}">
          <x14:formula1>
            <xm:f>'/Volumes/GoogleDrive/Mi unidad/COVID REPS/FEBRERO 2021/04 FEBRERO/C:\Users\control\Documents\GESTIÓN DEL RIESGO\Gestión del riesgo 2019\Mapa de Riesgos IV trimestre 2019\[Seguimiento MR  Adm IV TRIMESTRE 2019.xlsx]Listas'!#REF!</xm:f>
          </x14:formula1>
          <xm:sqref>K10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autoPageBreaks="0"/>
  </sheetPr>
  <dimension ref="A1:AA55"/>
  <sheetViews>
    <sheetView topLeftCell="C1" zoomScale="60" zoomScaleNormal="60" workbookViewId="0">
      <selection activeCell="L13" sqref="L13"/>
    </sheetView>
  </sheetViews>
  <sheetFormatPr baseColWidth="10" defaultColWidth="11.42578125" defaultRowHeight="12" x14ac:dyDescent="0.2"/>
  <cols>
    <col min="1" max="1" width="4.7109375" style="5" customWidth="1"/>
    <col min="2" max="4" width="21.7109375" style="5" customWidth="1"/>
    <col min="5" max="7" width="6.7109375" style="5" customWidth="1"/>
    <col min="8" max="8" width="6.7109375" style="13" customWidth="1"/>
    <col min="9" max="9" width="21.7109375" style="20" customWidth="1"/>
    <col min="10" max="10" width="6.7109375" style="20" customWidth="1"/>
    <col min="11" max="14" width="6.7109375" style="5" customWidth="1"/>
    <col min="15" max="16" width="6.7109375" style="13" customWidth="1"/>
    <col min="17" max="17" width="24.7109375" style="5" customWidth="1"/>
    <col min="18" max="18" width="12.28515625" style="5" customWidth="1"/>
    <col min="19" max="19" width="21" style="5" customWidth="1"/>
    <col min="20" max="20" width="16.7109375" style="5" customWidth="1"/>
    <col min="21" max="21" width="27.85546875" style="18" customWidth="1"/>
    <col min="22" max="23" width="36.7109375" style="5" hidden="1" customWidth="1"/>
    <col min="24" max="24" width="15.7109375" style="5" customWidth="1"/>
    <col min="25" max="25" width="19.28515625" style="5" customWidth="1"/>
    <col min="26" max="16384" width="11.42578125" style="5"/>
  </cols>
  <sheetData>
    <row r="1" spans="1:27" ht="28.5" customHeight="1" x14ac:dyDescent="0.3">
      <c r="B1" s="555"/>
      <c r="C1" s="555"/>
      <c r="D1" s="556" t="s">
        <v>389</v>
      </c>
      <c r="E1" s="556"/>
      <c r="F1" s="556"/>
      <c r="G1" s="556"/>
      <c r="H1" s="556"/>
      <c r="I1" s="556"/>
      <c r="J1" s="556"/>
      <c r="K1" s="556"/>
      <c r="L1" s="556"/>
      <c r="M1" s="556"/>
      <c r="N1" s="556"/>
      <c r="O1" s="556"/>
      <c r="P1" s="556"/>
      <c r="Q1" s="556"/>
      <c r="R1" s="556"/>
      <c r="S1" s="556"/>
      <c r="T1" s="556"/>
      <c r="U1" s="324" t="s">
        <v>594</v>
      </c>
      <c r="V1" s="315" t="s">
        <v>388</v>
      </c>
    </row>
    <row r="2" spans="1:27" ht="28.5" customHeight="1" x14ac:dyDescent="0.3">
      <c r="B2" s="555"/>
      <c r="C2" s="555"/>
      <c r="D2" s="556"/>
      <c r="E2" s="556"/>
      <c r="F2" s="556"/>
      <c r="G2" s="556"/>
      <c r="H2" s="556"/>
      <c r="I2" s="556"/>
      <c r="J2" s="556"/>
      <c r="K2" s="556"/>
      <c r="L2" s="556"/>
      <c r="M2" s="556"/>
      <c r="N2" s="556"/>
      <c r="O2" s="556"/>
      <c r="P2" s="556"/>
      <c r="Q2" s="556"/>
      <c r="R2" s="556"/>
      <c r="S2" s="556"/>
      <c r="T2" s="556"/>
      <c r="U2" s="324" t="s">
        <v>595</v>
      </c>
      <c r="V2" s="315" t="s">
        <v>391</v>
      </c>
    </row>
    <row r="3" spans="1:27" ht="28.5" customHeight="1" x14ac:dyDescent="0.3">
      <c r="B3" s="555"/>
      <c r="C3" s="555"/>
      <c r="D3" s="556"/>
      <c r="E3" s="556"/>
      <c r="F3" s="556"/>
      <c r="G3" s="556"/>
      <c r="H3" s="556"/>
      <c r="I3" s="556"/>
      <c r="J3" s="556"/>
      <c r="K3" s="556"/>
      <c r="L3" s="556"/>
      <c r="M3" s="556"/>
      <c r="N3" s="556"/>
      <c r="O3" s="556"/>
      <c r="P3" s="556"/>
      <c r="Q3" s="556"/>
      <c r="R3" s="556"/>
      <c r="S3" s="556"/>
      <c r="T3" s="556"/>
      <c r="U3" s="324" t="s">
        <v>596</v>
      </c>
      <c r="V3" s="315" t="s">
        <v>390</v>
      </c>
    </row>
    <row r="4" spans="1:27" s="4" customFormat="1" ht="24" customHeight="1" x14ac:dyDescent="0.3">
      <c r="A4" s="14"/>
      <c r="B4" s="229"/>
      <c r="C4" s="229"/>
      <c r="D4" s="250"/>
      <c r="E4" s="250"/>
      <c r="F4" s="250"/>
      <c r="G4" s="250"/>
      <c r="H4" s="250"/>
      <c r="I4" s="251"/>
      <c r="J4" s="250"/>
      <c r="K4" s="250"/>
      <c r="L4" s="250"/>
      <c r="M4" s="250"/>
      <c r="N4" s="229"/>
      <c r="O4" s="229"/>
      <c r="P4" s="13"/>
      <c r="Q4" s="13"/>
      <c r="R4" s="229"/>
      <c r="S4" s="229"/>
      <c r="T4" s="229"/>
      <c r="U4" s="229"/>
      <c r="V4" s="18"/>
    </row>
    <row r="5" spans="1:27" s="4" customFormat="1" ht="24" customHeight="1" x14ac:dyDescent="0.25">
      <c r="A5" s="14"/>
      <c r="B5" s="553" t="s">
        <v>0</v>
      </c>
      <c r="C5" s="554"/>
      <c r="D5" s="316"/>
      <c r="E5" s="557" t="s">
        <v>312</v>
      </c>
      <c r="F5" s="557"/>
      <c r="G5" s="557"/>
      <c r="H5" s="557"/>
      <c r="I5" s="557"/>
      <c r="J5" s="557"/>
      <c r="K5" s="557"/>
      <c r="L5" s="557"/>
      <c r="M5" s="557"/>
      <c r="N5" s="557"/>
      <c r="O5" s="558"/>
      <c r="P5" s="553" t="s">
        <v>25</v>
      </c>
      <c r="Q5" s="554"/>
      <c r="R5" s="316">
        <v>2020</v>
      </c>
      <c r="S5" s="317"/>
      <c r="T5" s="318"/>
      <c r="U5" s="253"/>
      <c r="V5" s="253"/>
    </row>
    <row r="6" spans="1:27" s="4" customFormat="1" ht="24" customHeight="1" x14ac:dyDescent="0.25">
      <c r="A6" s="14"/>
      <c r="B6" s="553" t="s">
        <v>1</v>
      </c>
      <c r="C6" s="554"/>
      <c r="D6" s="588" t="s">
        <v>508</v>
      </c>
      <c r="E6" s="559"/>
      <c r="F6" s="559"/>
      <c r="G6" s="559"/>
      <c r="H6" s="559"/>
      <c r="I6" s="559"/>
      <c r="J6" s="559"/>
      <c r="K6" s="559"/>
      <c r="L6" s="559"/>
      <c r="M6" s="559"/>
      <c r="N6" s="559"/>
      <c r="O6" s="559"/>
      <c r="P6" s="559"/>
      <c r="Q6" s="559"/>
      <c r="R6" s="559"/>
      <c r="S6" s="559"/>
      <c r="T6" s="560"/>
      <c r="U6" s="253"/>
      <c r="V6" s="253"/>
    </row>
    <row r="7" spans="1:27" s="4" customFormat="1" ht="15.75" thickBot="1" x14ac:dyDescent="0.3">
      <c r="A7" s="14"/>
      <c r="B7" s="1"/>
      <c r="C7" s="1"/>
      <c r="H7" s="17"/>
      <c r="I7" s="2"/>
      <c r="J7" s="2"/>
      <c r="O7" s="17"/>
      <c r="P7" s="17"/>
      <c r="U7" s="17"/>
    </row>
    <row r="8" spans="1:27" s="16" customFormat="1" ht="56.25" customHeight="1" thickBot="1" x14ac:dyDescent="0.3">
      <c r="A8" s="15"/>
      <c r="B8" s="573" t="s">
        <v>2</v>
      </c>
      <c r="C8" s="573" t="s">
        <v>3</v>
      </c>
      <c r="D8" s="573" t="s">
        <v>5</v>
      </c>
      <c r="E8" s="578" t="s">
        <v>28</v>
      </c>
      <c r="F8" s="573" t="s">
        <v>213</v>
      </c>
      <c r="G8" s="573"/>
      <c r="H8" s="574" t="s">
        <v>24</v>
      </c>
      <c r="I8" s="579" t="s">
        <v>11</v>
      </c>
      <c r="J8" s="576" t="s">
        <v>35</v>
      </c>
      <c r="K8" s="577"/>
      <c r="L8" s="581" t="s">
        <v>211</v>
      </c>
      <c r="M8" s="573" t="s">
        <v>214</v>
      </c>
      <c r="N8" s="573"/>
      <c r="O8" s="574" t="s">
        <v>24</v>
      </c>
      <c r="P8" s="578" t="s">
        <v>10</v>
      </c>
      <c r="Q8" s="573" t="s">
        <v>8</v>
      </c>
      <c r="R8" s="550" t="s">
        <v>17</v>
      </c>
      <c r="S8" s="573" t="s">
        <v>231</v>
      </c>
      <c r="T8" s="579" t="s">
        <v>215</v>
      </c>
      <c r="U8" s="573" t="s">
        <v>9</v>
      </c>
      <c r="V8" s="566" t="s">
        <v>224</v>
      </c>
      <c r="W8" s="566"/>
      <c r="X8" s="551" t="s">
        <v>623</v>
      </c>
      <c r="Y8" s="552"/>
    </row>
    <row r="9" spans="1:27" s="16" customFormat="1" ht="90" customHeight="1" thickBot="1" x14ac:dyDescent="0.3">
      <c r="A9" s="15"/>
      <c r="B9" s="573"/>
      <c r="C9" s="573"/>
      <c r="D9" s="573"/>
      <c r="E9" s="578"/>
      <c r="F9" s="175" t="s">
        <v>6</v>
      </c>
      <c r="G9" s="370" t="s">
        <v>7</v>
      </c>
      <c r="H9" s="575"/>
      <c r="I9" s="580"/>
      <c r="J9" s="371" t="s">
        <v>229</v>
      </c>
      <c r="K9" s="194" t="s">
        <v>230</v>
      </c>
      <c r="L9" s="582"/>
      <c r="M9" s="195" t="s">
        <v>6</v>
      </c>
      <c r="N9" s="196" t="s">
        <v>7</v>
      </c>
      <c r="O9" s="575"/>
      <c r="P9" s="578"/>
      <c r="Q9" s="573"/>
      <c r="R9" s="550"/>
      <c r="S9" s="573"/>
      <c r="T9" s="580"/>
      <c r="U9" s="573"/>
      <c r="V9" s="369" t="s">
        <v>206</v>
      </c>
      <c r="W9" s="369" t="s">
        <v>207</v>
      </c>
      <c r="X9" s="432" t="s">
        <v>658</v>
      </c>
      <c r="Y9" s="433" t="s">
        <v>659</v>
      </c>
    </row>
    <row r="10" spans="1:27" s="4" customFormat="1" ht="305.25" customHeight="1" x14ac:dyDescent="0.25">
      <c r="A10" s="22">
        <v>1</v>
      </c>
      <c r="B10" s="329" t="s">
        <v>316</v>
      </c>
      <c r="C10" s="248" t="s">
        <v>333</v>
      </c>
      <c r="D10" s="329" t="s">
        <v>314</v>
      </c>
      <c r="E10" s="331" t="s">
        <v>33</v>
      </c>
      <c r="F10" s="329">
        <v>3</v>
      </c>
      <c r="G10" s="329">
        <v>4</v>
      </c>
      <c r="H10" s="387" t="str">
        <f>INDEX([9]Listas!$L$4:$P$8,F10,G10)</f>
        <v>EXTREMA</v>
      </c>
      <c r="I10" s="327" t="s">
        <v>315</v>
      </c>
      <c r="J10" s="28" t="s">
        <v>228</v>
      </c>
      <c r="K10" s="28" t="str">
        <f>IF('[9]Evaluación de Controles'!F24="X","Probabilidad",IF('[9]Evaluación de Controles'!H24="X","Impacto",))</f>
        <v>Probabilidad</v>
      </c>
      <c r="L10" s="498">
        <f>'[9]Evaluación de Controles'!X24</f>
        <v>90</v>
      </c>
      <c r="M10" s="329">
        <v>2</v>
      </c>
      <c r="N10" s="329">
        <f>IF('[9]Evaluación de Controles'!H24="X",IF(L10&gt;75,IF(G10&gt;2,G10-2,IF(G10&gt;1,G10-1,G10)),IF(L10&gt;50,IF(G10&gt;1,G10-1,G10),G10)),G10)</f>
        <v>4</v>
      </c>
      <c r="O10" s="387" t="str">
        <f>INDEX([9]Listas!$L$4:$P$8,M10,N10)</f>
        <v>ALTA</v>
      </c>
      <c r="P10" s="28" t="s">
        <v>212</v>
      </c>
      <c r="Q10" s="329" t="s">
        <v>319</v>
      </c>
      <c r="R10" s="331" t="s">
        <v>65</v>
      </c>
      <c r="S10" s="329" t="s">
        <v>317</v>
      </c>
      <c r="T10" s="329" t="s">
        <v>318</v>
      </c>
      <c r="U10" s="329" t="s">
        <v>320</v>
      </c>
      <c r="V10" s="27"/>
      <c r="W10" s="388"/>
      <c r="X10" s="497">
        <f>84/84</f>
        <v>1</v>
      </c>
      <c r="Y10" s="497">
        <f>84/84</f>
        <v>1</v>
      </c>
    </row>
    <row r="11" spans="1:27" s="4" customFormat="1" ht="120" x14ac:dyDescent="0.25">
      <c r="A11" s="22">
        <v>2</v>
      </c>
      <c r="B11" s="329" t="s">
        <v>321</v>
      </c>
      <c r="C11" s="248" t="s">
        <v>276</v>
      </c>
      <c r="D11" s="329" t="s">
        <v>70</v>
      </c>
      <c r="E11" s="331" t="s">
        <v>27</v>
      </c>
      <c r="F11" s="329">
        <v>2</v>
      </c>
      <c r="G11" s="329">
        <v>4</v>
      </c>
      <c r="H11" s="387" t="str">
        <f>INDEX([9]Listas!$L$4:$P$8,F11,G11)</f>
        <v>ALTA</v>
      </c>
      <c r="I11" s="327" t="s">
        <v>277</v>
      </c>
      <c r="J11" s="28" t="s">
        <v>228</v>
      </c>
      <c r="K11" s="28" t="str">
        <f>IF('[9]Evaluación de Controles'!F25="X","Probabilidad",IF('[9]Evaluación de Controles'!H25="X","Impacto",))</f>
        <v>Probabilidad</v>
      </c>
      <c r="L11" s="498">
        <f>'[9]Evaluación de Controles'!X25</f>
        <v>85</v>
      </c>
      <c r="M11" s="329">
        <f>IF('[9]Evaluación de Controles'!F25="X",IF(L11&gt;75,IF(F11&gt;2,F11-2,IF(F11&gt;1,F11-1,F11)),IF(L11&gt;50,IF(F11&gt;1,F11-1,F11),F11)),F11)</f>
        <v>1</v>
      </c>
      <c r="N11" s="329">
        <f>IF('[9]Evaluación de Controles'!H25="X",IF(L11&gt;75,IF(G11&gt;2,G11-2,IF(G11&gt;1,G11-1,G11)),IF(L11&gt;50,IF(G11&gt;1,G11-1,G11),G11)),G11)</f>
        <v>2</v>
      </c>
      <c r="O11" s="387" t="str">
        <f>INDEX([9]Listas!$L$4:$P$8,M11,N11)</f>
        <v>BAJA</v>
      </c>
      <c r="P11" s="28" t="s">
        <v>237</v>
      </c>
      <c r="Q11" s="329" t="s">
        <v>507</v>
      </c>
      <c r="R11" s="331" t="s">
        <v>269</v>
      </c>
      <c r="S11" s="329" t="s">
        <v>317</v>
      </c>
      <c r="T11" s="329" t="s">
        <v>322</v>
      </c>
      <c r="U11" s="329" t="s">
        <v>323</v>
      </c>
      <c r="V11" s="27"/>
      <c r="W11" s="388"/>
      <c r="X11" s="389">
        <f>84/84</f>
        <v>1</v>
      </c>
      <c r="Y11" s="389">
        <f>84/84</f>
        <v>1</v>
      </c>
    </row>
    <row r="12" spans="1:27" s="4" customFormat="1" ht="239.25" customHeight="1" x14ac:dyDescent="0.25">
      <c r="A12" s="22">
        <v>3</v>
      </c>
      <c r="B12" s="329" t="s">
        <v>313</v>
      </c>
      <c r="C12" s="248" t="s">
        <v>324</v>
      </c>
      <c r="D12" s="329" t="s">
        <v>325</v>
      </c>
      <c r="E12" s="331" t="s">
        <v>33</v>
      </c>
      <c r="F12" s="329">
        <v>2</v>
      </c>
      <c r="G12" s="329">
        <v>5</v>
      </c>
      <c r="H12" s="387" t="str">
        <f>INDEX([9]Listas!$L$4:$P$8,F12,G12)</f>
        <v>EXTREMA</v>
      </c>
      <c r="I12" s="327" t="s">
        <v>278</v>
      </c>
      <c r="J12" s="28" t="s">
        <v>228</v>
      </c>
      <c r="K12" s="28" t="str">
        <f>IF('[9]Evaluación de Controles'!F26="X","Probabilidad",IF('[9]Evaluación de Controles'!H26="X","Impacto",))</f>
        <v>Probabilidad</v>
      </c>
      <c r="L12" s="496">
        <v>60</v>
      </c>
      <c r="M12" s="329">
        <f>IF('[9]Evaluación de Controles'!F26="X",IF(L12&gt;75,IF(F12&gt;2,F12-2,IF(F12&gt;1,F12-1,F12)),IF(L12&gt;50,IF(F12&gt;1,F12-1,F12),F12)),F12)</f>
        <v>1</v>
      </c>
      <c r="N12" s="329">
        <f>IF('[9]Evaluación de Controles'!H26="X",IF(L12&gt;75,IF(G12&gt;2,G12-2,IF(G12&gt;1,G12-1,G12)),IF(L12&gt;50,IF(G12&gt;1,G12-1,G12),G12)),G12)</f>
        <v>4</v>
      </c>
      <c r="O12" s="387" t="str">
        <f>INDEX([9]Listas!$L$4:$P$8,M12,N12)</f>
        <v>ALTA</v>
      </c>
      <c r="P12" s="28" t="s">
        <v>212</v>
      </c>
      <c r="Q12" s="329" t="s">
        <v>327</v>
      </c>
      <c r="R12" s="249" t="s">
        <v>269</v>
      </c>
      <c r="S12" s="329" t="s">
        <v>328</v>
      </c>
      <c r="T12" s="329" t="s">
        <v>329</v>
      </c>
      <c r="U12" s="329" t="s">
        <v>643</v>
      </c>
      <c r="V12" s="27"/>
      <c r="W12" s="388"/>
      <c r="X12" s="417">
        <v>1</v>
      </c>
      <c r="Y12" s="417">
        <v>1</v>
      </c>
    </row>
    <row r="13" spans="1:27" s="4" customFormat="1" ht="202.5" customHeight="1" x14ac:dyDescent="0.25">
      <c r="A13" s="22">
        <v>4</v>
      </c>
      <c r="B13" s="329" t="s">
        <v>331</v>
      </c>
      <c r="C13" s="248" t="s">
        <v>330</v>
      </c>
      <c r="D13" s="329" t="s">
        <v>332</v>
      </c>
      <c r="E13" s="331" t="s">
        <v>33</v>
      </c>
      <c r="F13" s="329">
        <v>3</v>
      </c>
      <c r="G13" s="329">
        <v>3</v>
      </c>
      <c r="H13" s="387" t="str">
        <f>INDEX([9]Listas!$L$4:$P$8,F13,G13)</f>
        <v>ALTA</v>
      </c>
      <c r="I13" s="327" t="s">
        <v>619</v>
      </c>
      <c r="J13" s="28" t="s">
        <v>226</v>
      </c>
      <c r="K13" s="28" t="str">
        <f>IF('[9]Evaluación de Controles'!F27="X","Probabilidad",IF('[9]Evaluación de Controles'!H27="X","Impacto",))</f>
        <v>Probabilidad</v>
      </c>
      <c r="L13" s="496">
        <v>70</v>
      </c>
      <c r="M13" s="329">
        <v>2</v>
      </c>
      <c r="N13" s="329">
        <f>IF('[9]Evaluación de Controles'!H27="X",IF(L13&gt;75,IF(G13&gt;2,G13-2,IF(G13&gt;1,G13-1,G13)),IF(L13&gt;50,IF(G13&gt;1,G13-1,G13),G13)),G13)</f>
        <v>2</v>
      </c>
      <c r="O13" s="387" t="str">
        <f>INDEX([9]Listas!$L$4:$P$8,M13,N13)</f>
        <v>BAJA</v>
      </c>
      <c r="P13" s="28" t="s">
        <v>212</v>
      </c>
      <c r="Q13" s="329" t="s">
        <v>620</v>
      </c>
      <c r="R13" s="331" t="s">
        <v>269</v>
      </c>
      <c r="S13" s="329" t="s">
        <v>317</v>
      </c>
      <c r="T13" s="329" t="s">
        <v>621</v>
      </c>
      <c r="U13" s="329" t="s">
        <v>622</v>
      </c>
      <c r="V13" s="27"/>
      <c r="W13" s="388"/>
      <c r="X13" s="389">
        <f>40/84</f>
        <v>0.47619047619047616</v>
      </c>
      <c r="Y13" s="389">
        <f>70/84</f>
        <v>0.83333333333333337</v>
      </c>
      <c r="AA13" s="4" t="s">
        <v>326</v>
      </c>
    </row>
    <row r="14" spans="1:27" x14ac:dyDescent="0.2">
      <c r="B14" s="384"/>
      <c r="C14" s="384"/>
      <c r="D14" s="384"/>
      <c r="E14" s="384"/>
      <c r="F14" s="541" t="s">
        <v>97</v>
      </c>
      <c r="G14" s="541"/>
      <c r="H14" s="36">
        <f>COUNTIF(H10:H13,"BAJA")</f>
        <v>0</v>
      </c>
      <c r="K14" s="229"/>
      <c r="L14" s="383"/>
      <c r="M14" s="541" t="s">
        <v>97</v>
      </c>
      <c r="N14" s="541"/>
      <c r="O14" s="36">
        <f>COUNTIF(O10:O13,"BAJA")</f>
        <v>2</v>
      </c>
      <c r="Q14" s="229"/>
      <c r="R14" s="229"/>
      <c r="S14" s="229"/>
      <c r="T14" s="229"/>
      <c r="V14" s="229"/>
      <c r="W14" s="229"/>
      <c r="X14" s="420" t="s">
        <v>203</v>
      </c>
      <c r="AA14" s="5" t="s">
        <v>21</v>
      </c>
    </row>
    <row r="15" spans="1:27" ht="12" customHeight="1" x14ac:dyDescent="0.2">
      <c r="B15" s="587"/>
      <c r="C15" s="587"/>
      <c r="D15" s="587"/>
      <c r="E15" s="587"/>
      <c r="F15" s="541" t="s">
        <v>99</v>
      </c>
      <c r="G15" s="541"/>
      <c r="H15" s="36">
        <f>COUNTIF(H10:H13,"MODERADA")</f>
        <v>0</v>
      </c>
      <c r="K15" s="229"/>
      <c r="L15" s="384"/>
      <c r="M15" s="541" t="s">
        <v>99</v>
      </c>
      <c r="N15" s="541"/>
      <c r="O15" s="36">
        <f>COUNTIF(O10:O13,"MODERADA")</f>
        <v>0</v>
      </c>
      <c r="Q15" s="229"/>
      <c r="R15" s="229"/>
      <c r="S15" s="229"/>
      <c r="T15" s="229"/>
      <c r="V15" s="229"/>
      <c r="W15" s="229"/>
      <c r="X15" s="229"/>
    </row>
    <row r="16" spans="1:27" x14ac:dyDescent="0.2">
      <c r="B16" s="229"/>
      <c r="C16" s="229"/>
      <c r="D16" s="229"/>
      <c r="E16" s="229"/>
      <c r="F16" s="541" t="s">
        <v>98</v>
      </c>
      <c r="G16" s="541"/>
      <c r="H16" s="36">
        <f>COUNTIF(H10:H13,"ALTA")</f>
        <v>2</v>
      </c>
      <c r="K16" s="229"/>
      <c r="L16" s="229"/>
      <c r="M16" s="541" t="s">
        <v>98</v>
      </c>
      <c r="N16" s="541"/>
      <c r="O16" s="36">
        <f>COUNTIF(O10:O13,"ALTA")</f>
        <v>2</v>
      </c>
      <c r="P16" s="229"/>
      <c r="Q16" s="229"/>
      <c r="R16" s="229"/>
      <c r="S16" s="229"/>
      <c r="T16" s="229"/>
      <c r="U16" s="229"/>
      <c r="V16" s="229"/>
      <c r="W16" s="229"/>
      <c r="X16" s="229"/>
    </row>
    <row r="17" spans="2:24" ht="12" customHeight="1" x14ac:dyDescent="0.2">
      <c r="B17" s="229"/>
      <c r="C17" s="229"/>
      <c r="D17" s="229"/>
      <c r="E17" s="229"/>
      <c r="F17" s="541" t="s">
        <v>100</v>
      </c>
      <c r="G17" s="541"/>
      <c r="H17" s="36">
        <f>COUNTIF(H10:H13,"EXTREMA")</f>
        <v>2</v>
      </c>
      <c r="K17" s="229"/>
      <c r="L17" s="229"/>
      <c r="M17" s="541" t="s">
        <v>100</v>
      </c>
      <c r="N17" s="541"/>
      <c r="O17" s="36">
        <f>COUNTIF(O10:O13,"EXTREMA")</f>
        <v>0</v>
      </c>
      <c r="P17" s="229"/>
      <c r="Q17" s="229"/>
      <c r="R17" s="229"/>
      <c r="S17" s="229"/>
      <c r="T17" s="229"/>
      <c r="U17" s="229"/>
      <c r="V17" s="229"/>
      <c r="W17" s="229"/>
      <c r="X17" s="229"/>
    </row>
    <row r="18" spans="2:24" ht="15.75" x14ac:dyDescent="0.2">
      <c r="B18" s="234"/>
      <c r="C18" s="229"/>
      <c r="D18" s="230"/>
      <c r="E18" s="229"/>
      <c r="F18" s="229"/>
      <c r="G18" s="229"/>
      <c r="K18" s="229"/>
      <c r="L18" s="229" t="s">
        <v>21</v>
      </c>
      <c r="M18" s="229"/>
      <c r="N18" s="229"/>
      <c r="O18" s="229"/>
      <c r="P18" s="229"/>
      <c r="Q18" s="229"/>
      <c r="R18" s="229"/>
      <c r="S18" s="229"/>
      <c r="T18" s="229"/>
      <c r="U18" s="229"/>
      <c r="V18" s="229"/>
      <c r="W18" s="229"/>
      <c r="X18" s="229"/>
    </row>
    <row r="19" spans="2:24" x14ac:dyDescent="0.2">
      <c r="B19" s="229"/>
      <c r="C19" s="229"/>
      <c r="D19" s="229"/>
      <c r="E19" s="229"/>
      <c r="F19" s="229"/>
      <c r="G19" s="229"/>
      <c r="K19" s="229"/>
      <c r="L19" s="229"/>
      <c r="M19" s="229"/>
      <c r="N19" s="229"/>
      <c r="O19" s="229"/>
      <c r="P19" s="229"/>
      <c r="Q19" s="229"/>
      <c r="R19" s="229"/>
      <c r="S19" s="229"/>
      <c r="T19" s="229"/>
      <c r="U19" s="229"/>
      <c r="V19" s="229"/>
      <c r="W19" s="229"/>
      <c r="X19" s="229"/>
    </row>
    <row r="20" spans="2:24" x14ac:dyDescent="0.2">
      <c r="B20" s="229"/>
      <c r="C20" s="229"/>
      <c r="D20" s="229"/>
      <c r="E20" s="229"/>
      <c r="F20" s="229"/>
      <c r="G20" s="229"/>
      <c r="K20" s="229"/>
      <c r="L20" s="229"/>
      <c r="M20" s="229"/>
      <c r="N20" s="229"/>
      <c r="O20" s="229"/>
      <c r="P20" s="229"/>
      <c r="Q20" s="229"/>
      <c r="R20" s="229"/>
      <c r="S20" s="229"/>
      <c r="T20" s="229"/>
      <c r="U20" s="229"/>
      <c r="V20" s="229"/>
      <c r="W20" s="229"/>
      <c r="X20" s="229"/>
    </row>
    <row r="21" spans="2:24" ht="15" x14ac:dyDescent="0.2">
      <c r="B21" s="372"/>
      <c r="C21" s="385"/>
      <c r="D21" s="362"/>
      <c r="E21" s="233"/>
      <c r="F21" s="233"/>
      <c r="G21" s="233"/>
      <c r="H21" s="229"/>
      <c r="K21" s="229"/>
      <c r="L21" s="229"/>
      <c r="M21" s="229"/>
      <c r="N21" s="229"/>
      <c r="O21" s="229"/>
      <c r="P21" s="229"/>
      <c r="Q21" s="229"/>
      <c r="R21" s="229"/>
      <c r="S21" s="229"/>
      <c r="T21" s="229"/>
      <c r="U21" s="229"/>
      <c r="V21" s="229"/>
      <c r="W21" s="229"/>
      <c r="X21" s="229"/>
    </row>
    <row r="22" spans="2:24" ht="15" x14ac:dyDescent="0.2">
      <c r="B22" s="363" t="s">
        <v>590</v>
      </c>
      <c r="C22" s="386"/>
      <c r="D22" s="364"/>
      <c r="E22" s="365" t="s">
        <v>654</v>
      </c>
      <c r="F22" s="365"/>
      <c r="G22" s="365"/>
      <c r="H22" s="229"/>
      <c r="K22" s="229"/>
      <c r="L22" s="229"/>
      <c r="M22" s="229"/>
      <c r="N22" s="229"/>
      <c r="O22" s="229"/>
      <c r="P22" s="229"/>
      <c r="Q22" s="229"/>
      <c r="R22" s="229"/>
      <c r="S22" s="229"/>
      <c r="T22" s="229"/>
      <c r="U22" s="229"/>
      <c r="V22" s="229"/>
      <c r="W22" s="229"/>
      <c r="X22" s="229"/>
    </row>
    <row r="23" spans="2:24" ht="15" x14ac:dyDescent="0.2">
      <c r="B23" s="232" t="s">
        <v>244</v>
      </c>
      <c r="C23" s="171"/>
      <c r="D23" s="172"/>
      <c r="E23" s="232" t="s">
        <v>245</v>
      </c>
      <c r="F23" s="171"/>
      <c r="G23" s="14"/>
      <c r="H23" s="229"/>
      <c r="K23" s="229"/>
      <c r="L23" s="229"/>
      <c r="M23" s="229"/>
      <c r="N23" s="229"/>
      <c r="O23" s="229"/>
      <c r="P23" s="229"/>
      <c r="Q23" s="229"/>
      <c r="R23" s="229"/>
      <c r="S23" s="229"/>
      <c r="T23" s="229"/>
      <c r="U23" s="229"/>
      <c r="V23" s="229"/>
      <c r="W23" s="229"/>
      <c r="X23" s="229"/>
    </row>
    <row r="24" spans="2:24" x14ac:dyDescent="0.2">
      <c r="B24" s="229"/>
      <c r="C24" s="229"/>
      <c r="D24" s="229"/>
      <c r="E24" s="229"/>
      <c r="F24" s="229"/>
      <c r="G24" s="229"/>
      <c r="H24" s="229"/>
      <c r="I24" s="229"/>
      <c r="J24" s="229"/>
      <c r="K24" s="229"/>
      <c r="L24" s="229"/>
      <c r="M24" s="229"/>
      <c r="N24" s="229"/>
      <c r="O24" s="229"/>
      <c r="P24" s="229"/>
      <c r="Q24" s="229"/>
      <c r="R24" s="229"/>
      <c r="S24" s="229"/>
      <c r="T24" s="229"/>
      <c r="U24" s="229"/>
      <c r="V24" s="229"/>
      <c r="W24" s="229"/>
      <c r="X24" s="229"/>
    </row>
    <row r="25" spans="2:24" x14ac:dyDescent="0.2">
      <c r="B25" s="229"/>
      <c r="C25" s="229"/>
      <c r="D25" s="229"/>
      <c r="E25" s="229"/>
      <c r="F25" s="229"/>
      <c r="G25" s="229"/>
      <c r="K25" s="229"/>
      <c r="L25" s="229"/>
      <c r="M25" s="229"/>
      <c r="N25" s="229"/>
      <c r="O25" s="229"/>
      <c r="P25" s="229"/>
      <c r="Q25" s="229"/>
      <c r="R25" s="229"/>
      <c r="S25" s="229"/>
      <c r="T25" s="229"/>
      <c r="U25" s="229"/>
      <c r="V25" s="229"/>
      <c r="W25" s="229"/>
      <c r="X25" s="229"/>
    </row>
    <row r="26" spans="2:24" x14ac:dyDescent="0.2">
      <c r="B26" s="229"/>
      <c r="C26" s="229"/>
      <c r="D26" s="229"/>
      <c r="E26" s="229"/>
      <c r="F26" s="229"/>
      <c r="G26" s="229"/>
      <c r="K26" s="229"/>
      <c r="L26" s="229"/>
      <c r="M26" s="229"/>
      <c r="N26" s="229"/>
      <c r="O26" s="229"/>
      <c r="P26" s="229"/>
      <c r="Q26" s="229"/>
      <c r="R26" s="229"/>
      <c r="S26" s="229"/>
      <c r="T26" s="229"/>
      <c r="U26" s="229"/>
      <c r="V26" s="229"/>
      <c r="W26" s="229"/>
      <c r="X26" s="229"/>
    </row>
    <row r="27" spans="2:24" x14ac:dyDescent="0.2">
      <c r="G27" s="9"/>
      <c r="H27" s="10"/>
      <c r="O27" s="5"/>
      <c r="P27" s="5"/>
      <c r="U27" s="5"/>
    </row>
    <row r="28" spans="2:24" x14ac:dyDescent="0.2">
      <c r="G28" s="9"/>
      <c r="H28" s="10"/>
      <c r="O28" s="5"/>
      <c r="P28" s="5"/>
      <c r="U28" s="5"/>
    </row>
    <row r="29" spans="2:24" x14ac:dyDescent="0.2">
      <c r="O29" s="5"/>
      <c r="P29" s="5"/>
      <c r="U29" s="5"/>
    </row>
    <row r="30" spans="2:24" x14ac:dyDescent="0.2">
      <c r="O30" s="5"/>
      <c r="P30" s="5"/>
      <c r="U30" s="5"/>
    </row>
    <row r="31" spans="2:24" x14ac:dyDescent="0.2">
      <c r="O31" s="5"/>
      <c r="P31" s="5"/>
      <c r="U31" s="5"/>
    </row>
    <row r="32" spans="2:24" x14ac:dyDescent="0.2">
      <c r="H32" s="5"/>
      <c r="I32" s="5"/>
      <c r="J32" s="5"/>
      <c r="O32" s="5"/>
      <c r="P32" s="5"/>
      <c r="U32" s="5"/>
    </row>
    <row r="33" s="5" customFormat="1" x14ac:dyDescent="0.2"/>
    <row r="34" s="5" customFormat="1" x14ac:dyDescent="0.2"/>
    <row r="35" s="5" customFormat="1" x14ac:dyDescent="0.2"/>
    <row r="36" s="5" customFormat="1" x14ac:dyDescent="0.2"/>
    <row r="37" s="5" customFormat="1" x14ac:dyDescent="0.2"/>
    <row r="38" s="5" customFormat="1" x14ac:dyDescent="0.2"/>
    <row r="39" s="5" customFormat="1" x14ac:dyDescent="0.2"/>
    <row r="40" s="5" customFormat="1" x14ac:dyDescent="0.2"/>
    <row r="41" s="5" customFormat="1" x14ac:dyDescent="0.2"/>
    <row r="42" s="5" customFormat="1" x14ac:dyDescent="0.2"/>
    <row r="43" s="5" customFormat="1" x14ac:dyDescent="0.2"/>
    <row r="44" s="5" customFormat="1" x14ac:dyDescent="0.2"/>
    <row r="45" s="5" customFormat="1" x14ac:dyDescent="0.2"/>
    <row r="46" s="5" customFormat="1" x14ac:dyDescent="0.2"/>
    <row r="47" s="5" customFormat="1" x14ac:dyDescent="0.2"/>
    <row r="48"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sheetData>
  <customSheetViews>
    <customSheetView guid="{B83C9EB8-C964-4489-98C8-19C81BFAE010}"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
    </customSheetView>
    <customSheetView guid="{42BB51DB-DC3E-4DA5-9499-5574EB19780E}"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2"/>
    </customSheetView>
    <customSheetView guid="{D8BB7E15-0E8F-45FC-AD1A-6D8C295A087C}"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3"/>
    </customSheetView>
    <customSheetView guid="{F7D68F61-F89A-4541-9A78-C25C58CA23E3}"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printArea="1" hiddenColumns="1">
      <selection activeCell="U17" sqref="A1:V17"/>
      <pageMargins left="1.18" right="0.17" top="0.88" bottom="0.46" header="0.31496062992125984" footer="0.31496062992125984"/>
      <printOptions horizontalCentered="1"/>
      <pageSetup paperSize="5" fitToHeight="0" orientation="landscape" r:id="rId17"/>
    </customSheetView>
    <customSheetView guid="{ADD38025-F4B2-44E2-9D06-07A9BF0F3A5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8"/>
    </customSheetView>
    <customSheetView guid="{97D65C1E-976A-4956-97FC-0E8188ABCFAA}"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9"/>
    </customSheetView>
  </customSheetViews>
  <mergeCells count="35">
    <mergeCell ref="X8:Y8"/>
    <mergeCell ref="B1:C3"/>
    <mergeCell ref="B5:C5"/>
    <mergeCell ref="E5:O5"/>
    <mergeCell ref="P5:Q5"/>
    <mergeCell ref="D1:T3"/>
    <mergeCell ref="V8:W8"/>
    <mergeCell ref="P8:P9"/>
    <mergeCell ref="Q8:Q9"/>
    <mergeCell ref="L8:L9"/>
    <mergeCell ref="T8:T9"/>
    <mergeCell ref="R8:R9"/>
    <mergeCell ref="S8:S9"/>
    <mergeCell ref="U8:U9"/>
    <mergeCell ref="B6:C6"/>
    <mergeCell ref="D6:T6"/>
    <mergeCell ref="F16:G16"/>
    <mergeCell ref="F17:G17"/>
    <mergeCell ref="M14:N14"/>
    <mergeCell ref="M15:N15"/>
    <mergeCell ref="M16:N16"/>
    <mergeCell ref="M17:N17"/>
    <mergeCell ref="B15:E15"/>
    <mergeCell ref="M8:N8"/>
    <mergeCell ref="O8:O9"/>
    <mergeCell ref="F14:G14"/>
    <mergeCell ref="F15:G15"/>
    <mergeCell ref="B8:B9"/>
    <mergeCell ref="C8:C9"/>
    <mergeCell ref="D8:D9"/>
    <mergeCell ref="E8:E9"/>
    <mergeCell ref="F8:G8"/>
    <mergeCell ref="H8:H9"/>
    <mergeCell ref="I8:I9"/>
    <mergeCell ref="J8:K8"/>
  </mergeCells>
  <conditionalFormatting sqref="H7 O7 H27:H1048576 H14:H20 O14:O1048576">
    <cfRule type="cellIs" dxfId="570" priority="137" operator="equal">
      <formula>"BAJA"</formula>
    </cfRule>
  </conditionalFormatting>
  <conditionalFormatting sqref="H7 O7 H27:H1048576 H14:H20 O14:O1048576">
    <cfRule type="cellIs" dxfId="569" priority="134" operator="equal">
      <formula>"EXTREMA"</formula>
    </cfRule>
    <cfRule type="cellIs" dxfId="568" priority="135" operator="equal">
      <formula>"ALTA"</formula>
    </cfRule>
    <cfRule type="cellIs" dxfId="567" priority="136" operator="equal">
      <formula>"MODERADA"</formula>
    </cfRule>
  </conditionalFormatting>
  <conditionalFormatting sqref="E7:F7 M7:N7 E27:F1048576 E14:F20 M14:N1048576">
    <cfRule type="colorScale" priority="133">
      <colorScale>
        <cfvo type="num" val="1"/>
        <cfvo type="num" val="3"/>
        <cfvo type="num" val="5"/>
        <color theme="6" tint="-0.499984740745262"/>
        <color rgb="FFFFFF00"/>
        <color rgb="FFC00000"/>
      </colorScale>
    </cfRule>
  </conditionalFormatting>
  <conditionalFormatting sqref="F4:G4 N4:O4">
    <cfRule type="colorScale" priority="80">
      <colorScale>
        <cfvo type="num" val="1"/>
        <cfvo type="num" val="3"/>
        <cfvo type="num" val="5"/>
        <color theme="6" tint="-0.499984740745262"/>
        <color rgb="FFFFFF00"/>
        <color rgb="FFC00000"/>
      </colorScale>
    </cfRule>
  </conditionalFormatting>
  <conditionalFormatting sqref="H25:H26">
    <cfRule type="cellIs" dxfId="566" priority="73" operator="equal">
      <formula>"BAJA"</formula>
    </cfRule>
  </conditionalFormatting>
  <conditionalFormatting sqref="H25:H26">
    <cfRule type="cellIs" dxfId="565" priority="70" operator="equal">
      <formula>"EXTREMA"</formula>
    </cfRule>
    <cfRule type="cellIs" dxfId="564" priority="71" operator="equal">
      <formula>"ALTA"</formula>
    </cfRule>
    <cfRule type="cellIs" dxfId="563" priority="72" operator="equal">
      <formula>"MODERADA"</formula>
    </cfRule>
  </conditionalFormatting>
  <conditionalFormatting sqref="F10:G12 E25:F26">
    <cfRule type="colorScale" priority="69">
      <colorScale>
        <cfvo type="num" val="1"/>
        <cfvo type="num" val="3"/>
        <cfvo type="num" val="5"/>
        <color theme="6" tint="-0.499984740745262"/>
        <color rgb="FFFFFF00"/>
        <color rgb="FFC00000"/>
      </colorScale>
    </cfRule>
  </conditionalFormatting>
  <conditionalFormatting sqref="H14:H17">
    <cfRule type="cellIs" dxfId="562" priority="68" operator="equal">
      <formula>"BAJA"</formula>
    </cfRule>
  </conditionalFormatting>
  <conditionalFormatting sqref="H14:H17">
    <cfRule type="cellIs" dxfId="561" priority="65" operator="equal">
      <formula>"EXTREMA"</formula>
    </cfRule>
    <cfRule type="cellIs" dxfId="560" priority="66" operator="equal">
      <formula>"ALTA"</formula>
    </cfRule>
    <cfRule type="cellIs" dxfId="559" priority="67" operator="equal">
      <formula>"MODERADA"</formula>
    </cfRule>
  </conditionalFormatting>
  <conditionalFormatting sqref="F14:F17">
    <cfRule type="colorScale" priority="64">
      <colorScale>
        <cfvo type="num" val="1"/>
        <cfvo type="num" val="3"/>
        <cfvo type="num" val="5"/>
        <color theme="6" tint="-0.499984740745262"/>
        <color rgb="FFFFFF00"/>
        <color rgb="FFC00000"/>
      </colorScale>
    </cfRule>
  </conditionalFormatting>
  <conditionalFormatting sqref="H14:H17">
    <cfRule type="cellIs" dxfId="558" priority="63" operator="equal">
      <formula>"BAJA"</formula>
    </cfRule>
  </conditionalFormatting>
  <conditionalFormatting sqref="H14:H17">
    <cfRule type="cellIs" dxfId="557" priority="60" operator="equal">
      <formula>"EXTREMA"</formula>
    </cfRule>
    <cfRule type="cellIs" dxfId="556" priority="61" operator="equal">
      <formula>"ALTA"</formula>
    </cfRule>
    <cfRule type="cellIs" dxfId="555" priority="62" operator="equal">
      <formula>"MODERADA"</formula>
    </cfRule>
  </conditionalFormatting>
  <conditionalFormatting sqref="F14:F17">
    <cfRule type="colorScale" priority="59">
      <colorScale>
        <cfvo type="num" val="1"/>
        <cfvo type="num" val="3"/>
        <cfvo type="num" val="5"/>
        <color theme="6" tint="-0.499984740745262"/>
        <color rgb="FFFFFF00"/>
        <color rgb="FFC00000"/>
      </colorScale>
    </cfRule>
  </conditionalFormatting>
  <conditionalFormatting sqref="H14:H17">
    <cfRule type="cellIs" dxfId="554" priority="58" operator="equal">
      <formula>"BAJA"</formula>
    </cfRule>
  </conditionalFormatting>
  <conditionalFormatting sqref="H14:H17">
    <cfRule type="cellIs" dxfId="553" priority="55" operator="equal">
      <formula>"EXTREMA"</formula>
    </cfRule>
    <cfRule type="cellIs" dxfId="552" priority="56" operator="equal">
      <formula>"ALTA"</formula>
    </cfRule>
    <cfRule type="cellIs" dxfId="551" priority="57" operator="equal">
      <formula>"MODERADA"</formula>
    </cfRule>
  </conditionalFormatting>
  <conditionalFormatting sqref="O14:O17">
    <cfRule type="cellIs" dxfId="550" priority="54" operator="equal">
      <formula>"BAJA"</formula>
    </cfRule>
  </conditionalFormatting>
  <conditionalFormatting sqref="O14:O17">
    <cfRule type="cellIs" dxfId="549" priority="51" operator="equal">
      <formula>"EXTREMA"</formula>
    </cfRule>
    <cfRule type="cellIs" dxfId="548" priority="52" operator="equal">
      <formula>"ALTA"</formula>
    </cfRule>
    <cfRule type="cellIs" dxfId="547" priority="53" operator="equal">
      <formula>"MODERADA"</formula>
    </cfRule>
  </conditionalFormatting>
  <conditionalFormatting sqref="M14:M17">
    <cfRule type="colorScale" priority="50">
      <colorScale>
        <cfvo type="num" val="1"/>
        <cfvo type="num" val="3"/>
        <cfvo type="num" val="5"/>
        <color theme="6" tint="-0.499984740745262"/>
        <color rgb="FFFFFF00"/>
        <color rgb="FFC00000"/>
      </colorScale>
    </cfRule>
  </conditionalFormatting>
  <conditionalFormatting sqref="O14:O17">
    <cfRule type="cellIs" dxfId="546" priority="49" operator="equal">
      <formula>"BAJA"</formula>
    </cfRule>
  </conditionalFormatting>
  <conditionalFormatting sqref="O14:O17">
    <cfRule type="cellIs" dxfId="545" priority="46" operator="equal">
      <formula>"EXTREMA"</formula>
    </cfRule>
    <cfRule type="cellIs" dxfId="544" priority="47" operator="equal">
      <formula>"ALTA"</formula>
    </cfRule>
    <cfRule type="cellIs" dxfId="543" priority="48" operator="equal">
      <formula>"MODERADA"</formula>
    </cfRule>
  </conditionalFormatting>
  <conditionalFormatting sqref="M14:M17">
    <cfRule type="colorScale" priority="45">
      <colorScale>
        <cfvo type="num" val="1"/>
        <cfvo type="num" val="3"/>
        <cfvo type="num" val="5"/>
        <color theme="6" tint="-0.499984740745262"/>
        <color rgb="FFFFFF00"/>
        <color rgb="FFC00000"/>
      </colorScale>
    </cfRule>
  </conditionalFormatting>
  <conditionalFormatting sqref="O14:O17">
    <cfRule type="cellIs" dxfId="542" priority="44" operator="equal">
      <formula>"BAJA"</formula>
    </cfRule>
  </conditionalFormatting>
  <conditionalFormatting sqref="O14:O17">
    <cfRule type="cellIs" dxfId="541" priority="41" operator="equal">
      <formula>"EXTREMA"</formula>
    </cfRule>
    <cfRule type="cellIs" dxfId="540" priority="42" operator="equal">
      <formula>"ALTA"</formula>
    </cfRule>
    <cfRule type="cellIs" dxfId="539" priority="43" operator="equal">
      <formula>"MODERADA"</formula>
    </cfRule>
  </conditionalFormatting>
  <conditionalFormatting sqref="H10:H12">
    <cfRule type="cellIs" dxfId="538" priority="37" operator="equal">
      <formula>"EXTREMA"</formula>
    </cfRule>
    <cfRule type="cellIs" dxfId="537" priority="38" operator="equal">
      <formula>"ALTA"</formula>
    </cfRule>
    <cfRule type="cellIs" dxfId="536" priority="39" operator="equal">
      <formula>"MODERADA"</formula>
    </cfRule>
    <cfRule type="cellIs" dxfId="535" priority="40" operator="equal">
      <formula>"BAJA"</formula>
    </cfRule>
  </conditionalFormatting>
  <conditionalFormatting sqref="O10:O12">
    <cfRule type="cellIs" dxfId="534" priority="33" operator="equal">
      <formula>"EXTREMA"</formula>
    </cfRule>
    <cfRule type="cellIs" dxfId="533" priority="34" operator="equal">
      <formula>"ALTA"</formula>
    </cfRule>
    <cfRule type="cellIs" dxfId="532" priority="35" operator="equal">
      <formula>"MODERADA"</formula>
    </cfRule>
    <cfRule type="cellIs" dxfId="531" priority="36" operator="equal">
      <formula>"BAJA"</formula>
    </cfRule>
  </conditionalFormatting>
  <conditionalFormatting sqref="M10:N13">
    <cfRule type="colorScale" priority="32">
      <colorScale>
        <cfvo type="num" val="1"/>
        <cfvo type="num" val="3"/>
        <cfvo type="num" val="5"/>
        <color theme="6" tint="-0.499984740745262"/>
        <color rgb="FFFFFF00"/>
        <color rgb="FFC00000"/>
      </colorScale>
    </cfRule>
  </conditionalFormatting>
  <conditionalFormatting sqref="F13:G13">
    <cfRule type="colorScale" priority="31">
      <colorScale>
        <cfvo type="num" val="1"/>
        <cfvo type="num" val="3"/>
        <cfvo type="num" val="5"/>
        <color theme="6" tint="-0.499984740745262"/>
        <color rgb="FFFFFF00"/>
        <color rgb="FFC00000"/>
      </colorScale>
    </cfRule>
  </conditionalFormatting>
  <conditionalFormatting sqref="H13">
    <cfRule type="cellIs" dxfId="530" priority="27" operator="equal">
      <formula>"EXTREMA"</formula>
    </cfRule>
    <cfRule type="cellIs" dxfId="529" priority="28" operator="equal">
      <formula>"ALTA"</formula>
    </cfRule>
    <cfRule type="cellIs" dxfId="528" priority="29" operator="equal">
      <formula>"MODERADA"</formula>
    </cfRule>
    <cfRule type="cellIs" dxfId="527" priority="30" operator="equal">
      <formula>"BAJA"</formula>
    </cfRule>
  </conditionalFormatting>
  <conditionalFormatting sqref="O13">
    <cfRule type="cellIs" dxfId="526" priority="23" operator="equal">
      <formula>"EXTREMA"</formula>
    </cfRule>
    <cfRule type="cellIs" dxfId="525" priority="24" operator="equal">
      <formula>"ALTA"</formula>
    </cfRule>
    <cfRule type="cellIs" dxfId="524" priority="25" operator="equal">
      <formula>"MODERADA"</formula>
    </cfRule>
    <cfRule type="cellIs" dxfId="523" priority="26" operator="equal">
      <formula>"BAJA"</formula>
    </cfRule>
  </conditionalFormatting>
  <conditionalFormatting sqref="H8:H9 O8:O9">
    <cfRule type="cellIs" dxfId="522" priority="22" operator="equal">
      <formula>"BAJA"</formula>
    </cfRule>
  </conditionalFormatting>
  <conditionalFormatting sqref="H8:H9 O8:O9">
    <cfRule type="cellIs" dxfId="521" priority="19" operator="equal">
      <formula>"EXTREMA"</formula>
    </cfRule>
    <cfRule type="cellIs" dxfId="520" priority="20" operator="equal">
      <formula>"ALTA"</formula>
    </cfRule>
    <cfRule type="cellIs" dxfId="519" priority="21" operator="equal">
      <formula>"MODERADA"</formula>
    </cfRule>
  </conditionalFormatting>
  <conditionalFormatting sqref="F8:G9 M8:N9">
    <cfRule type="colorScale" priority="18">
      <colorScale>
        <cfvo type="num" val="1"/>
        <cfvo type="num" val="3"/>
        <cfvo type="num" val="5"/>
        <color theme="6" tint="-0.499984740745262"/>
        <color rgb="FFFFFF00"/>
        <color rgb="FFC00000"/>
      </colorScale>
    </cfRule>
  </conditionalFormatting>
  <conditionalFormatting sqref="K21:K24">
    <cfRule type="cellIs" dxfId="518" priority="17" operator="equal">
      <formula>"BAJA"</formula>
    </cfRule>
  </conditionalFormatting>
  <conditionalFormatting sqref="K21:K24">
    <cfRule type="cellIs" dxfId="517" priority="14" operator="equal">
      <formula>"EXTREMA"</formula>
    </cfRule>
    <cfRule type="cellIs" dxfId="516" priority="15" operator="equal">
      <formula>"ALTA"</formula>
    </cfRule>
    <cfRule type="cellIs" dxfId="515" priority="16" operator="equal">
      <formula>"MODERADA"</formula>
    </cfRule>
  </conditionalFormatting>
  <conditionalFormatting sqref="H24:I24">
    <cfRule type="colorScale" priority="13">
      <colorScale>
        <cfvo type="num" val="1"/>
        <cfvo type="num" val="3"/>
        <cfvo type="num" val="5"/>
        <color theme="6" tint="-0.499984740745262"/>
        <color rgb="FFFFFF00"/>
        <color rgb="FFC00000"/>
      </colorScale>
    </cfRule>
  </conditionalFormatting>
  <conditionalFormatting sqref="F21:G2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74803149606299213" bottom="0.55118110236220474" header="0.31496062992125984" footer="0.31496062992125984"/>
  <pageSetup paperSize="5" scale="50" fitToHeight="99" orientation="landscape" r:id="rId20"/>
  <drawing r:id="rId21"/>
  <extLst>
    <ext xmlns:x14="http://schemas.microsoft.com/office/spreadsheetml/2009/9/main" uri="{CCE6A557-97BC-4b89-ADB6-D9C93CAAB3DF}">
      <x14:dataValidations xmlns:xm="http://schemas.microsoft.com/office/excel/2006/main" count="1">
        <x14:dataValidation type="list" showInputMessage="1" showErrorMessage="1" xr:uid="{00000000-0002-0000-0600-000000000000}">
          <x14:formula1>
            <xm:f>'/Volumes/GoogleDrive/Mi unidad/COVID REPS/FEBRERO 2021/04 FEBRERO/C:\Users\user1\Downloads\[Mapa de Riesgos sistemas  2019 primer semestre (1).xlsx]Listas'!#REF!</xm:f>
          </x14:formula1>
          <xm:sqref>J10:J13 E10:E13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pageSetUpPr autoPageBreaks="0"/>
  </sheetPr>
  <dimension ref="A1:Z37"/>
  <sheetViews>
    <sheetView topLeftCell="H1" zoomScale="70" zoomScaleNormal="70" workbookViewId="0">
      <selection activeCell="M12" sqref="M12"/>
    </sheetView>
  </sheetViews>
  <sheetFormatPr baseColWidth="10" defaultColWidth="11.42578125" defaultRowHeight="12" x14ac:dyDescent="0.2"/>
  <cols>
    <col min="1" max="1" width="4.7109375" style="5" customWidth="1"/>
    <col min="2" max="2" width="21.7109375" style="5" customWidth="1"/>
    <col min="3" max="3" width="25" style="5" customWidth="1"/>
    <col min="4" max="4" width="21.7109375" style="5" hidden="1" customWidth="1"/>
    <col min="5" max="5" width="29.7109375" style="5" customWidth="1"/>
    <col min="6" max="8" width="6.7109375" style="5" customWidth="1"/>
    <col min="9" max="9" width="6.7109375" style="13" customWidth="1"/>
    <col min="10" max="10" width="21.7109375" style="20" customWidth="1"/>
    <col min="11" max="11" width="6.7109375" style="20" customWidth="1"/>
    <col min="12" max="15" width="6.7109375" style="5" customWidth="1"/>
    <col min="16" max="17" width="6.7109375" style="13" customWidth="1"/>
    <col min="18" max="18" width="24.7109375" style="5" customWidth="1"/>
    <col min="19" max="19" width="6.7109375" style="5" customWidth="1"/>
    <col min="20" max="20" width="21.42578125" style="5" customWidth="1"/>
    <col min="21" max="21" width="17.7109375" style="5" customWidth="1"/>
    <col min="22" max="22" width="34.28515625" style="18" customWidth="1"/>
    <col min="23" max="24" width="36.7109375" style="5" hidden="1" customWidth="1"/>
    <col min="25" max="25" width="18.28515625" style="5" customWidth="1"/>
    <col min="26" max="26" width="17.28515625" style="5" customWidth="1"/>
    <col min="27" max="16384" width="11.42578125" style="5"/>
  </cols>
  <sheetData>
    <row r="1" spans="1:26" ht="31.5"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6" ht="31.5"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6" ht="31.5"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6" s="4" customFormat="1" ht="24" customHeight="1" x14ac:dyDescent="0.3">
      <c r="A4" s="14"/>
      <c r="B4" s="229"/>
      <c r="C4" s="229"/>
      <c r="D4" s="250"/>
      <c r="E4" s="250"/>
      <c r="F4" s="250"/>
      <c r="G4" s="250"/>
      <c r="H4" s="250"/>
      <c r="I4" s="251"/>
      <c r="J4" s="250"/>
      <c r="K4" s="250"/>
      <c r="L4" s="250"/>
      <c r="M4" s="250"/>
      <c r="N4" s="229"/>
      <c r="O4" s="229"/>
      <c r="P4" s="13"/>
      <c r="Q4" s="13"/>
      <c r="R4" s="229"/>
      <c r="S4" s="229"/>
      <c r="T4" s="229"/>
      <c r="U4" s="229"/>
      <c r="V4" s="321"/>
    </row>
    <row r="5" spans="1:26" s="4" customFormat="1" ht="24" customHeight="1" x14ac:dyDescent="0.25">
      <c r="A5" s="14"/>
      <c r="B5" s="553" t="s">
        <v>0</v>
      </c>
      <c r="C5" s="554"/>
      <c r="D5" s="316"/>
      <c r="E5" s="557" t="s">
        <v>395</v>
      </c>
      <c r="F5" s="557"/>
      <c r="G5" s="557"/>
      <c r="H5" s="557"/>
      <c r="I5" s="557"/>
      <c r="J5" s="557"/>
      <c r="K5" s="557"/>
      <c r="L5" s="557"/>
      <c r="M5" s="557"/>
      <c r="N5" s="557"/>
      <c r="O5" s="558"/>
      <c r="P5" s="553" t="s">
        <v>25</v>
      </c>
      <c r="Q5" s="554"/>
      <c r="R5" s="316">
        <v>2020</v>
      </c>
      <c r="S5" s="317"/>
      <c r="T5" s="318"/>
      <c r="U5" s="253"/>
      <c r="V5" s="320"/>
    </row>
    <row r="6" spans="1:26" s="4" customFormat="1" ht="36" customHeight="1" x14ac:dyDescent="0.25">
      <c r="A6" s="14"/>
      <c r="B6" s="553" t="s">
        <v>1</v>
      </c>
      <c r="C6" s="554"/>
      <c r="D6" s="319"/>
      <c r="E6" s="589" t="s">
        <v>509</v>
      </c>
      <c r="F6" s="589"/>
      <c r="G6" s="589"/>
      <c r="H6" s="589"/>
      <c r="I6" s="589"/>
      <c r="J6" s="589"/>
      <c r="K6" s="589"/>
      <c r="L6" s="589"/>
      <c r="M6" s="589"/>
      <c r="N6" s="589"/>
      <c r="O6" s="589"/>
      <c r="P6" s="589"/>
      <c r="Q6" s="589"/>
      <c r="R6" s="589"/>
      <c r="S6" s="589"/>
      <c r="T6" s="590"/>
      <c r="U6" s="253"/>
      <c r="V6" s="322"/>
    </row>
    <row r="7" spans="1:26" s="4" customFormat="1" ht="15.75" thickBot="1" x14ac:dyDescent="0.3">
      <c r="A7" s="14"/>
      <c r="B7" s="1"/>
      <c r="C7" s="1"/>
      <c r="I7" s="17"/>
      <c r="J7" s="2"/>
      <c r="K7" s="2"/>
      <c r="P7" s="17"/>
      <c r="Q7" s="17"/>
      <c r="V7" s="17"/>
    </row>
    <row r="8" spans="1:26" s="16" customFormat="1" ht="30" customHeight="1" thickBot="1" x14ac:dyDescent="0.3">
      <c r="A8" s="15"/>
      <c r="B8" s="573" t="s">
        <v>2</v>
      </c>
      <c r="C8" s="573" t="s">
        <v>3</v>
      </c>
      <c r="D8" s="573" t="s">
        <v>4</v>
      </c>
      <c r="E8" s="573" t="s">
        <v>5</v>
      </c>
      <c r="F8" s="578" t="s">
        <v>28</v>
      </c>
      <c r="G8" s="573" t="s">
        <v>213</v>
      </c>
      <c r="H8" s="573"/>
      <c r="I8" s="574" t="s">
        <v>24</v>
      </c>
      <c r="J8" s="579" t="s">
        <v>11</v>
      </c>
      <c r="K8" s="576" t="s">
        <v>35</v>
      </c>
      <c r="L8" s="577"/>
      <c r="M8" s="581" t="s">
        <v>211</v>
      </c>
      <c r="N8" s="573" t="s">
        <v>214</v>
      </c>
      <c r="O8" s="573"/>
      <c r="P8" s="574" t="s">
        <v>24</v>
      </c>
      <c r="Q8" s="578" t="s">
        <v>10</v>
      </c>
      <c r="R8" s="573" t="s">
        <v>8</v>
      </c>
      <c r="S8" s="550" t="s">
        <v>17</v>
      </c>
      <c r="T8" s="573" t="s">
        <v>262</v>
      </c>
      <c r="U8" s="579" t="s">
        <v>215</v>
      </c>
      <c r="V8" s="573" t="s">
        <v>9</v>
      </c>
      <c r="W8" s="566" t="s">
        <v>224</v>
      </c>
      <c r="X8" s="566"/>
      <c r="Y8" s="551" t="s">
        <v>623</v>
      </c>
      <c r="Z8" s="552"/>
    </row>
    <row r="9" spans="1:26" s="16" customFormat="1" ht="88.5" customHeight="1" x14ac:dyDescent="0.25">
      <c r="A9" s="15"/>
      <c r="B9" s="573"/>
      <c r="C9" s="573"/>
      <c r="D9" s="573"/>
      <c r="E9" s="573"/>
      <c r="F9" s="578"/>
      <c r="G9" s="175" t="s">
        <v>6</v>
      </c>
      <c r="H9" s="246" t="s">
        <v>7</v>
      </c>
      <c r="I9" s="575"/>
      <c r="J9" s="580"/>
      <c r="K9" s="245" t="s">
        <v>229</v>
      </c>
      <c r="L9" s="194" t="s">
        <v>230</v>
      </c>
      <c r="M9" s="582"/>
      <c r="N9" s="195" t="s">
        <v>6</v>
      </c>
      <c r="O9" s="196" t="s">
        <v>7</v>
      </c>
      <c r="P9" s="575"/>
      <c r="Q9" s="578"/>
      <c r="R9" s="573"/>
      <c r="S9" s="550"/>
      <c r="T9" s="573"/>
      <c r="U9" s="580"/>
      <c r="V9" s="573"/>
      <c r="W9" s="146" t="s">
        <v>206</v>
      </c>
      <c r="X9" s="146" t="s">
        <v>207</v>
      </c>
      <c r="Y9" s="434" t="s">
        <v>658</v>
      </c>
      <c r="Z9" s="435" t="s">
        <v>659</v>
      </c>
    </row>
    <row r="10" spans="1:26" s="4" customFormat="1" ht="159.75" customHeight="1" x14ac:dyDescent="0.25">
      <c r="A10" s="22">
        <v>1</v>
      </c>
      <c r="B10" s="53" t="s">
        <v>428</v>
      </c>
      <c r="C10" s="329" t="s">
        <v>272</v>
      </c>
      <c r="D10" s="29"/>
      <c r="E10" s="29" t="s">
        <v>271</v>
      </c>
      <c r="F10" s="26" t="s">
        <v>32</v>
      </c>
      <c r="G10" s="29">
        <v>3</v>
      </c>
      <c r="H10" s="29">
        <v>4</v>
      </c>
      <c r="I10" s="21" t="str">
        <f>INDEX(Listas!$L$4:$P$8,G10,H10)</f>
        <v>EXTREMA</v>
      </c>
      <c r="J10" s="329" t="s">
        <v>489</v>
      </c>
      <c r="K10" s="28" t="s">
        <v>228</v>
      </c>
      <c r="L10" s="28" t="str">
        <f>IF('[7]Evaluación de Controles'!F28="X","Probabilidad",IF('[7]Evaluación de Controles'!H28="X","Impacto",))</f>
        <v>Probabilidad</v>
      </c>
      <c r="M10" s="496">
        <f>'[7]Evaluación de Controles'!X28</f>
        <v>75</v>
      </c>
      <c r="N10" s="329">
        <f>IF('[7]Evaluación de Controles'!F28="X",IF(M10&gt;75,IF(G10&gt;2,G10-2,IF(G10&gt;1,G10-1,G10)),IF(M10&gt;50,IF(G10&gt;1,G10-1,G10),G10)),G10)</f>
        <v>2</v>
      </c>
      <c r="O10" s="329">
        <f>IF('[7]Evaluación de Controles'!H28="X",IF(M10&gt;75,IF(H10&gt;2,H10-2,IF(H10&gt;1,H10-1,H10)),IF(M10&gt;50,IF(H10&gt;1,H10-1,H10),H10)),H10)</f>
        <v>3</v>
      </c>
      <c r="P10" s="21" t="str">
        <f>INDEX([7]Listas!$L$4:$P$8,N10,O10)</f>
        <v>MODERADA</v>
      </c>
      <c r="Q10" s="28" t="s">
        <v>237</v>
      </c>
      <c r="R10" s="25" t="s">
        <v>490</v>
      </c>
      <c r="S10" s="26" t="s">
        <v>641</v>
      </c>
      <c r="T10" s="29" t="s">
        <v>427</v>
      </c>
      <c r="U10" s="174" t="s">
        <v>273</v>
      </c>
      <c r="V10" s="332" t="s">
        <v>642</v>
      </c>
      <c r="W10" s="27"/>
      <c r="X10" s="147"/>
      <c r="Y10" s="337" t="s">
        <v>737</v>
      </c>
      <c r="Z10" s="337" t="s">
        <v>737</v>
      </c>
    </row>
    <row r="11" spans="1:26" s="4" customFormat="1" ht="171" customHeight="1" x14ac:dyDescent="0.25">
      <c r="A11" s="22">
        <v>2</v>
      </c>
      <c r="B11" s="242" t="s">
        <v>429</v>
      </c>
      <c r="C11" s="329" t="s">
        <v>433</v>
      </c>
      <c r="D11" s="242"/>
      <c r="E11" s="242" t="s">
        <v>434</v>
      </c>
      <c r="F11" s="26" t="s">
        <v>32</v>
      </c>
      <c r="G11" s="242">
        <v>3</v>
      </c>
      <c r="H11" s="242">
        <v>4</v>
      </c>
      <c r="I11" s="21" t="str">
        <f>INDEX(Listas!$L$4:$P$8,G11,H11)</f>
        <v>EXTREMA</v>
      </c>
      <c r="J11" s="329" t="s">
        <v>436</v>
      </c>
      <c r="K11" s="28" t="s">
        <v>228</v>
      </c>
      <c r="L11" s="28" t="str">
        <f>IF('[7]Evaluación de Controles'!F29="X","Probabilidad",IF('[7]Evaluación de Controles'!#REF!="X","Impacto",))</f>
        <v>Probabilidad</v>
      </c>
      <c r="M11" s="498">
        <f>'[7]Evaluación de Controles'!X29</f>
        <v>85</v>
      </c>
      <c r="N11" s="329">
        <f>IF('[7]Evaluación de Controles'!F29="X",IF(M11&gt;75,IF(G11&gt;2,G11-2,IF(G11&gt;1,G11-1,G11)),IF(M11&gt;50,IF(G11&gt;1,G11-1,G11),G11)),G11)</f>
        <v>1</v>
      </c>
      <c r="O11" s="329">
        <f>IF('[7]Evaluación de Controles'!H29="X",IF(M11&gt;75,IF(H11&gt;2,H11-2,IF(H11&gt;1,H11-1,H11)),IF(M11&gt;50,IF(H11&gt;1,H11-1,H11),H11)),H11)</f>
        <v>2</v>
      </c>
      <c r="P11" s="21" t="str">
        <f>INDEX([7]Listas!$L$4:$P$8,N11,O11)</f>
        <v>BAJA</v>
      </c>
      <c r="Q11" s="28" t="s">
        <v>237</v>
      </c>
      <c r="R11" s="25" t="s">
        <v>435</v>
      </c>
      <c r="S11" s="26" t="s">
        <v>265</v>
      </c>
      <c r="T11" s="242" t="s">
        <v>430</v>
      </c>
      <c r="U11" s="242" t="s">
        <v>432</v>
      </c>
      <c r="V11" s="509" t="s">
        <v>431</v>
      </c>
      <c r="W11" s="27"/>
      <c r="X11" s="147"/>
      <c r="Y11" s="389" t="s">
        <v>722</v>
      </c>
      <c r="Z11" s="389" t="s">
        <v>722</v>
      </c>
    </row>
    <row r="12" spans="1:26" s="4" customFormat="1" ht="141" customHeight="1" x14ac:dyDescent="0.25">
      <c r="A12" s="22">
        <v>3</v>
      </c>
      <c r="B12" s="53" t="s">
        <v>437</v>
      </c>
      <c r="C12" s="329" t="s">
        <v>438</v>
      </c>
      <c r="D12" s="29"/>
      <c r="E12" s="29" t="s">
        <v>491</v>
      </c>
      <c r="F12" s="26" t="s">
        <v>32</v>
      </c>
      <c r="G12" s="29">
        <v>3</v>
      </c>
      <c r="H12" s="29">
        <v>2</v>
      </c>
      <c r="I12" s="21" t="str">
        <f>INDEX(Listas!$L$4:$P$8,G12,H12)</f>
        <v>MODERADA</v>
      </c>
      <c r="J12" s="329" t="s">
        <v>275</v>
      </c>
      <c r="K12" s="28" t="s">
        <v>228</v>
      </c>
      <c r="L12" s="28" t="str">
        <f>IF('[7]Evaluación de Controles'!F30="X","Probabilidad",IF('[7]Evaluación de Controles'!H30="X","Impacto",))</f>
        <v>Probabilidad</v>
      </c>
      <c r="M12" s="496">
        <f>'[7]Evaluación de Controles'!X30</f>
        <v>70</v>
      </c>
      <c r="N12" s="329">
        <f>IF('[7]Evaluación de Controles'!F30="X",IF(M12&gt;75,IF(G12&gt;2,G12-2,IF(G12&gt;1,G12-1,G12)),IF(M12&gt;50,IF(G12&gt;1,G12-1,G12),G12)),G12)</f>
        <v>2</v>
      </c>
      <c r="O12" s="329">
        <f>IF('[7]Evaluación de Controles'!H30="X",IF(M12&gt;75,IF(H12&gt;2,H12-2,IF(H12&gt;1,H12-1,H12)),IF(M12&gt;50,IF(H12&gt;1,H12-1,H12),H12)),H12)</f>
        <v>1</v>
      </c>
      <c r="P12" s="21" t="str">
        <f>INDEX([7]Listas!$L$4:$P$8,N12,O12)</f>
        <v>BAJA</v>
      </c>
      <c r="Q12" s="28" t="s">
        <v>237</v>
      </c>
      <c r="R12" s="25" t="s">
        <v>439</v>
      </c>
      <c r="S12" s="26" t="s">
        <v>265</v>
      </c>
      <c r="T12" s="29" t="s">
        <v>427</v>
      </c>
      <c r="U12" s="174" t="s">
        <v>274</v>
      </c>
      <c r="V12" s="332" t="s">
        <v>440</v>
      </c>
      <c r="W12" s="27" t="s">
        <v>217</v>
      </c>
      <c r="X12" s="147"/>
      <c r="Y12" s="337" t="s">
        <v>737</v>
      </c>
      <c r="Z12" s="337" t="s">
        <v>737</v>
      </c>
    </row>
    <row r="13" spans="1:26" x14ac:dyDescent="0.2">
      <c r="D13" s="9"/>
      <c r="P13" s="5"/>
      <c r="Q13" s="5"/>
      <c r="V13" s="5"/>
    </row>
    <row r="14" spans="1:26" x14ac:dyDescent="0.2">
      <c r="D14" s="9"/>
      <c r="G14" s="541" t="s">
        <v>97</v>
      </c>
      <c r="H14" s="541"/>
      <c r="I14" s="36">
        <f>COUNTIF(I10:I12,"BAJA")</f>
        <v>0</v>
      </c>
      <c r="J14" s="5"/>
      <c r="K14" s="5"/>
      <c r="N14" s="541" t="s">
        <v>97</v>
      </c>
      <c r="O14" s="541"/>
      <c r="P14" s="36">
        <f>COUNTIF(P10:P12,"BAJA")</f>
        <v>2</v>
      </c>
      <c r="Q14" s="5"/>
      <c r="V14" s="5"/>
    </row>
    <row r="15" spans="1:26" x14ac:dyDescent="0.2">
      <c r="D15" s="9"/>
      <c r="G15" s="541" t="s">
        <v>99</v>
      </c>
      <c r="H15" s="541"/>
      <c r="I15" s="36">
        <f>COUNTIF(I10:I12,"MODERADA")</f>
        <v>1</v>
      </c>
      <c r="J15" s="5"/>
      <c r="K15" s="5"/>
      <c r="N15" s="541" t="s">
        <v>99</v>
      </c>
      <c r="O15" s="541"/>
      <c r="P15" s="36">
        <f>COUNTIF(P10:P12,"MODERADA")</f>
        <v>1</v>
      </c>
      <c r="Q15" s="5"/>
      <c r="V15" s="5"/>
    </row>
    <row r="16" spans="1:26" x14ac:dyDescent="0.2">
      <c r="B16" s="343"/>
      <c r="C16" s="343"/>
      <c r="D16" s="343"/>
      <c r="E16" s="343"/>
      <c r="G16" s="541" t="s">
        <v>98</v>
      </c>
      <c r="H16" s="541"/>
      <c r="I16" s="36">
        <f>COUNTIF(I10:I12,"ALTA")</f>
        <v>0</v>
      </c>
      <c r="J16" s="5"/>
      <c r="K16" s="5"/>
      <c r="N16" s="541" t="s">
        <v>98</v>
      </c>
      <c r="O16" s="541"/>
      <c r="P16" s="36">
        <f>COUNTIF(P10:P12,"ALTA")</f>
        <v>0</v>
      </c>
      <c r="Q16" s="5"/>
      <c r="V16" s="5"/>
    </row>
    <row r="17" spans="2:22" ht="15.75" x14ac:dyDescent="0.2">
      <c r="B17" s="344"/>
      <c r="C17" s="343"/>
      <c r="D17" s="343"/>
      <c r="E17" s="345"/>
      <c r="G17" s="541" t="s">
        <v>100</v>
      </c>
      <c r="H17" s="541"/>
      <c r="I17" s="36">
        <f>COUNTIF(I10:I12,"EXTREMA")</f>
        <v>2</v>
      </c>
      <c r="J17" s="5"/>
      <c r="K17" s="5"/>
      <c r="N17" s="541" t="s">
        <v>100</v>
      </c>
      <c r="O17" s="541"/>
      <c r="P17" s="36">
        <f>COUNTIF(P10:P12,"EXTREMA")</f>
        <v>0</v>
      </c>
      <c r="Q17" s="5"/>
      <c r="V17" s="5"/>
    </row>
    <row r="18" spans="2:22" x14ac:dyDescent="0.2">
      <c r="I18" s="5"/>
      <c r="J18" s="5"/>
      <c r="K18" s="5"/>
      <c r="P18" s="5"/>
      <c r="Q18" s="5"/>
      <c r="V18" s="5"/>
    </row>
    <row r="19" spans="2:22" x14ac:dyDescent="0.2">
      <c r="D19" s="9"/>
      <c r="I19" s="5"/>
      <c r="J19" s="5"/>
      <c r="K19" s="5"/>
      <c r="P19" s="5"/>
      <c r="Q19" s="5"/>
      <c r="V19" s="5"/>
    </row>
    <row r="20" spans="2:22" x14ac:dyDescent="0.2">
      <c r="D20" s="9"/>
      <c r="I20" s="5"/>
      <c r="J20" s="5"/>
      <c r="K20" s="5"/>
      <c r="P20" s="5"/>
      <c r="Q20" s="5"/>
      <c r="V20" s="5"/>
    </row>
    <row r="21" spans="2:22" x14ac:dyDescent="0.2">
      <c r="D21" s="9"/>
      <c r="I21" s="5"/>
      <c r="J21" s="5"/>
      <c r="K21" s="5"/>
      <c r="P21" s="5"/>
      <c r="Q21" s="5"/>
      <c r="V21" s="5"/>
    </row>
    <row r="22" spans="2:22" ht="15" x14ac:dyDescent="0.2">
      <c r="B22" s="367"/>
      <c r="C22" s="368"/>
      <c r="D22" s="362"/>
      <c r="E22" s="233"/>
      <c r="F22" s="233"/>
      <c r="G22" s="233"/>
      <c r="I22" s="5"/>
      <c r="J22" s="5"/>
      <c r="K22" s="5"/>
      <c r="P22" s="5"/>
      <c r="Q22" s="5"/>
      <c r="V22" s="5"/>
    </row>
    <row r="23" spans="2:22" ht="15" x14ac:dyDescent="0.2">
      <c r="B23" s="363" t="s">
        <v>713</v>
      </c>
      <c r="C23" s="366"/>
      <c r="D23" s="364"/>
      <c r="E23" s="365" t="s">
        <v>654</v>
      </c>
      <c r="F23" s="365"/>
      <c r="G23" s="365"/>
      <c r="I23" s="5"/>
      <c r="J23" s="5"/>
      <c r="K23" s="5"/>
      <c r="P23" s="5"/>
      <c r="Q23" s="5"/>
      <c r="V23" s="5"/>
    </row>
    <row r="24" spans="2:22" ht="15" x14ac:dyDescent="0.2">
      <c r="B24" s="232" t="s">
        <v>244</v>
      </c>
      <c r="C24" s="171"/>
      <c r="D24" s="172"/>
      <c r="E24" s="232" t="s">
        <v>245</v>
      </c>
      <c r="F24" s="171"/>
      <c r="G24" s="14"/>
      <c r="I24" s="5"/>
      <c r="J24" s="5"/>
      <c r="K24" s="5"/>
      <c r="P24" s="5"/>
      <c r="Q24" s="5"/>
      <c r="V24" s="5"/>
    </row>
    <row r="25" spans="2:22" x14ac:dyDescent="0.2">
      <c r="D25" s="9"/>
      <c r="I25" s="5"/>
      <c r="J25" s="5"/>
      <c r="K25" s="5"/>
      <c r="P25" s="5"/>
      <c r="Q25" s="5"/>
      <c r="V25" s="5"/>
    </row>
    <row r="26" spans="2:22" x14ac:dyDescent="0.2">
      <c r="D26" s="9"/>
      <c r="I26" s="5"/>
      <c r="J26" s="5"/>
      <c r="K26" s="5"/>
      <c r="P26" s="5"/>
      <c r="Q26" s="5"/>
      <c r="V26" s="5"/>
    </row>
    <row r="27" spans="2:22" x14ac:dyDescent="0.2">
      <c r="D27" s="9"/>
      <c r="I27" s="5"/>
      <c r="J27" s="5"/>
      <c r="K27" s="5"/>
      <c r="P27" s="5"/>
      <c r="Q27" s="5"/>
      <c r="V27" s="5"/>
    </row>
    <row r="28" spans="2:22" x14ac:dyDescent="0.2">
      <c r="D28" s="9"/>
      <c r="I28" s="5"/>
      <c r="J28" s="5"/>
      <c r="K28" s="5"/>
      <c r="P28" s="5"/>
      <c r="Q28" s="5"/>
      <c r="V28" s="5"/>
    </row>
    <row r="29" spans="2:22" x14ac:dyDescent="0.2">
      <c r="D29" s="9"/>
      <c r="I29" s="5"/>
      <c r="J29" s="5"/>
      <c r="K29" s="5"/>
      <c r="P29" s="5"/>
      <c r="Q29" s="5"/>
      <c r="V29" s="5"/>
    </row>
    <row r="30" spans="2:22" x14ac:dyDescent="0.2">
      <c r="D30" s="9"/>
      <c r="I30" s="5"/>
      <c r="J30" s="5"/>
      <c r="K30" s="5"/>
      <c r="P30" s="5"/>
      <c r="Q30" s="5"/>
      <c r="V30" s="5"/>
    </row>
    <row r="31" spans="2:22" x14ac:dyDescent="0.2">
      <c r="D31" s="9"/>
      <c r="I31" s="5"/>
      <c r="J31" s="5"/>
      <c r="K31" s="5"/>
      <c r="P31" s="5"/>
      <c r="Q31" s="5"/>
      <c r="V31" s="5"/>
    </row>
    <row r="32" spans="2:22" x14ac:dyDescent="0.2">
      <c r="D32" s="9"/>
      <c r="I32" s="5"/>
      <c r="J32" s="5"/>
      <c r="K32" s="5"/>
      <c r="P32" s="5"/>
      <c r="Q32" s="5"/>
      <c r="V32" s="5"/>
    </row>
    <row r="33" spans="4:22" x14ac:dyDescent="0.2">
      <c r="D33" s="9"/>
      <c r="I33" s="5"/>
      <c r="J33" s="5"/>
      <c r="K33" s="5"/>
      <c r="P33" s="5"/>
      <c r="Q33" s="5"/>
      <c r="V33" s="5"/>
    </row>
    <row r="34" spans="4:22" x14ac:dyDescent="0.2">
      <c r="D34" s="9"/>
      <c r="I34" s="5"/>
      <c r="J34" s="5"/>
      <c r="K34" s="5"/>
      <c r="P34" s="5"/>
      <c r="Q34" s="5"/>
      <c r="V34" s="5"/>
    </row>
    <row r="35" spans="4:22" x14ac:dyDescent="0.2">
      <c r="D35" s="9"/>
      <c r="I35" s="5"/>
      <c r="J35" s="5"/>
      <c r="K35" s="5"/>
      <c r="P35" s="5"/>
      <c r="Q35" s="5"/>
      <c r="V35" s="5"/>
    </row>
    <row r="36" spans="4:22" x14ac:dyDescent="0.2">
      <c r="D36" s="9"/>
      <c r="I36" s="5"/>
      <c r="J36" s="5"/>
      <c r="K36" s="5"/>
      <c r="P36" s="5"/>
      <c r="Q36" s="5"/>
      <c r="V36" s="5"/>
    </row>
    <row r="37" spans="4:22" x14ac:dyDescent="0.2">
      <c r="D37" s="9"/>
      <c r="I37" s="5"/>
      <c r="J37" s="5"/>
      <c r="K37" s="5"/>
      <c r="P37" s="5"/>
      <c r="Q37" s="5"/>
      <c r="V37" s="5"/>
    </row>
  </sheetData>
  <customSheetViews>
    <customSheetView guid="{B83C9EB8-C964-4489-98C8-19C81BFAE010}"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42BB51DB-DC3E-4DA5-9499-5574EB19780E}"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2"/>
    </customSheetView>
    <customSheetView guid="{D8BB7E15-0E8F-45FC-AD1A-6D8C295A087C}"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3"/>
    </customSheetView>
    <customSheetView guid="{F7D68F61-F89A-4541-9A78-C25C58CA23E3}"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ADD38025-F4B2-44E2-9D06-07A9BF0F3A51}"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8"/>
    </customSheetView>
    <customSheetView guid="{97D65C1E-976A-4956-97FC-0E8188ABCFAA}"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9"/>
    </customSheetView>
  </customSheetViews>
  <mergeCells count="35">
    <mergeCell ref="Y8:Z8"/>
    <mergeCell ref="B1:C3"/>
    <mergeCell ref="B5:C5"/>
    <mergeCell ref="E5:O5"/>
    <mergeCell ref="P5:Q5"/>
    <mergeCell ref="D1:U3"/>
    <mergeCell ref="W8:X8"/>
    <mergeCell ref="S8:S9"/>
    <mergeCell ref="T8:T9"/>
    <mergeCell ref="V8:V9"/>
    <mergeCell ref="R8:R9"/>
    <mergeCell ref="M8:M9"/>
    <mergeCell ref="U8:U9"/>
    <mergeCell ref="K8:L8"/>
    <mergeCell ref="Q8:Q9"/>
    <mergeCell ref="B6:C6"/>
    <mergeCell ref="G14:H14"/>
    <mergeCell ref="G15:H15"/>
    <mergeCell ref="G16:H16"/>
    <mergeCell ref="G17:H17"/>
    <mergeCell ref="N14:O14"/>
    <mergeCell ref="N15:O15"/>
    <mergeCell ref="N16:O16"/>
    <mergeCell ref="N17:O17"/>
    <mergeCell ref="E6:T6"/>
    <mergeCell ref="G8:H8"/>
    <mergeCell ref="I8:I9"/>
    <mergeCell ref="J8:J9"/>
    <mergeCell ref="N8:O8"/>
    <mergeCell ref="P8:P9"/>
    <mergeCell ref="B8:B9"/>
    <mergeCell ref="C8:C9"/>
    <mergeCell ref="D8:D9"/>
    <mergeCell ref="E8:E9"/>
    <mergeCell ref="F8:F9"/>
  </mergeCells>
  <conditionalFormatting sqref="I7 P7 I13:I1048576 P13:P1048576">
    <cfRule type="cellIs" dxfId="514" priority="80" operator="equal">
      <formula>"BAJA"</formula>
    </cfRule>
  </conditionalFormatting>
  <conditionalFormatting sqref="I7 P7 I13:I1048576 P13:P1048576">
    <cfRule type="cellIs" dxfId="513" priority="77" operator="equal">
      <formula>"EXTREMA"</formula>
    </cfRule>
    <cfRule type="cellIs" dxfId="512" priority="78" operator="equal">
      <formula>"ALTA"</formula>
    </cfRule>
    <cfRule type="cellIs" dxfId="511" priority="79" operator="equal">
      <formula>"MODERADA"</formula>
    </cfRule>
  </conditionalFormatting>
  <conditionalFormatting sqref="F13:G21 F7:G7 G10:H10 N7:O7 N13:O1048576 G12:H12 F25:G1048576">
    <cfRule type="colorScale" priority="76">
      <colorScale>
        <cfvo type="num" val="1"/>
        <cfvo type="num" val="3"/>
        <cfvo type="num" val="5"/>
        <color theme="6" tint="-0.499984740745262"/>
        <color rgb="FFFFFF00"/>
        <color rgb="FFC00000"/>
      </colorScale>
    </cfRule>
  </conditionalFormatting>
  <conditionalFormatting sqref="I14:I17">
    <cfRule type="cellIs" dxfId="510" priority="75" operator="equal">
      <formula>"BAJA"</formula>
    </cfRule>
  </conditionalFormatting>
  <conditionalFormatting sqref="I14:I17">
    <cfRule type="cellIs" dxfId="509" priority="72" operator="equal">
      <formula>"EXTREMA"</formula>
    </cfRule>
    <cfRule type="cellIs" dxfId="508" priority="73" operator="equal">
      <formula>"ALTA"</formula>
    </cfRule>
    <cfRule type="cellIs" dxfId="507" priority="74" operator="equal">
      <formula>"MODERADA"</formula>
    </cfRule>
  </conditionalFormatting>
  <conditionalFormatting sqref="G14:G17">
    <cfRule type="colorScale" priority="71">
      <colorScale>
        <cfvo type="num" val="1"/>
        <cfvo type="num" val="3"/>
        <cfvo type="num" val="5"/>
        <color theme="6" tint="-0.499984740745262"/>
        <color rgb="FFFFFF00"/>
        <color rgb="FFC00000"/>
      </colorScale>
    </cfRule>
  </conditionalFormatting>
  <conditionalFormatting sqref="I14:I17">
    <cfRule type="cellIs" dxfId="506" priority="70" operator="equal">
      <formula>"BAJA"</formula>
    </cfRule>
  </conditionalFormatting>
  <conditionalFormatting sqref="I14:I17">
    <cfRule type="cellIs" dxfId="505" priority="67" operator="equal">
      <formula>"EXTREMA"</formula>
    </cfRule>
    <cfRule type="cellIs" dxfId="504" priority="68" operator="equal">
      <formula>"ALTA"</formula>
    </cfRule>
    <cfRule type="cellIs" dxfId="503" priority="69" operator="equal">
      <formula>"MODERADA"</formula>
    </cfRule>
  </conditionalFormatting>
  <conditionalFormatting sqref="G14:G17">
    <cfRule type="colorScale" priority="66">
      <colorScale>
        <cfvo type="num" val="1"/>
        <cfvo type="num" val="3"/>
        <cfvo type="num" val="5"/>
        <color theme="6" tint="-0.499984740745262"/>
        <color rgb="FFFFFF00"/>
        <color rgb="FFC00000"/>
      </colorScale>
    </cfRule>
  </conditionalFormatting>
  <conditionalFormatting sqref="I14:I17">
    <cfRule type="cellIs" dxfId="502" priority="65" operator="equal">
      <formula>"BAJA"</formula>
    </cfRule>
  </conditionalFormatting>
  <conditionalFormatting sqref="I14:I17">
    <cfRule type="cellIs" dxfId="501" priority="62" operator="equal">
      <formula>"EXTREMA"</formula>
    </cfRule>
    <cfRule type="cellIs" dxfId="500" priority="63" operator="equal">
      <formula>"ALTA"</formula>
    </cfRule>
    <cfRule type="cellIs" dxfId="499" priority="64" operator="equal">
      <formula>"MODERADA"</formula>
    </cfRule>
  </conditionalFormatting>
  <conditionalFormatting sqref="G14:G17">
    <cfRule type="colorScale" priority="61">
      <colorScale>
        <cfvo type="num" val="1"/>
        <cfvo type="num" val="3"/>
        <cfvo type="num" val="5"/>
        <color theme="6" tint="-0.499984740745262"/>
        <color rgb="FFFFFF00"/>
        <color rgb="FFC00000"/>
      </colorScale>
    </cfRule>
  </conditionalFormatting>
  <conditionalFormatting sqref="I14:I17">
    <cfRule type="cellIs" dxfId="498" priority="60" operator="equal">
      <formula>"BAJA"</formula>
    </cfRule>
  </conditionalFormatting>
  <conditionalFormatting sqref="I14:I17">
    <cfRule type="cellIs" dxfId="497" priority="57" operator="equal">
      <formula>"EXTREMA"</formula>
    </cfRule>
    <cfRule type="cellIs" dxfId="496" priority="58" operator="equal">
      <formula>"ALTA"</formula>
    </cfRule>
    <cfRule type="cellIs" dxfId="495" priority="59" operator="equal">
      <formula>"MODERADA"</formula>
    </cfRule>
  </conditionalFormatting>
  <conditionalFormatting sqref="P14:P17">
    <cfRule type="cellIs" dxfId="494" priority="56" operator="equal">
      <formula>"BAJA"</formula>
    </cfRule>
  </conditionalFormatting>
  <conditionalFormatting sqref="P14:P17">
    <cfRule type="cellIs" dxfId="493" priority="53" operator="equal">
      <formula>"EXTREMA"</formula>
    </cfRule>
    <cfRule type="cellIs" dxfId="492" priority="54" operator="equal">
      <formula>"ALTA"</formula>
    </cfRule>
    <cfRule type="cellIs" dxfId="491" priority="55" operator="equal">
      <formula>"MODERADA"</formula>
    </cfRule>
  </conditionalFormatting>
  <conditionalFormatting sqref="N14:N17">
    <cfRule type="colorScale" priority="52">
      <colorScale>
        <cfvo type="num" val="1"/>
        <cfvo type="num" val="3"/>
        <cfvo type="num" val="5"/>
        <color theme="6" tint="-0.499984740745262"/>
        <color rgb="FFFFFF00"/>
        <color rgb="FFC00000"/>
      </colorScale>
    </cfRule>
  </conditionalFormatting>
  <conditionalFormatting sqref="P14:P17">
    <cfRule type="cellIs" dxfId="490" priority="51" operator="equal">
      <formula>"BAJA"</formula>
    </cfRule>
  </conditionalFormatting>
  <conditionalFormatting sqref="P14:P17">
    <cfRule type="cellIs" dxfId="489" priority="48" operator="equal">
      <formula>"EXTREMA"</formula>
    </cfRule>
    <cfRule type="cellIs" dxfId="488" priority="49" operator="equal">
      <formula>"ALTA"</formula>
    </cfRule>
    <cfRule type="cellIs" dxfId="487" priority="50" operator="equal">
      <formula>"MODERADA"</formula>
    </cfRule>
  </conditionalFormatting>
  <conditionalFormatting sqref="N14:N17">
    <cfRule type="colorScale" priority="47">
      <colorScale>
        <cfvo type="num" val="1"/>
        <cfvo type="num" val="3"/>
        <cfvo type="num" val="5"/>
        <color theme="6" tint="-0.499984740745262"/>
        <color rgb="FFFFFF00"/>
        <color rgb="FFC00000"/>
      </colorScale>
    </cfRule>
  </conditionalFormatting>
  <conditionalFormatting sqref="P14:P17">
    <cfRule type="cellIs" dxfId="486" priority="46" operator="equal">
      <formula>"BAJA"</formula>
    </cfRule>
  </conditionalFormatting>
  <conditionalFormatting sqref="P14:P17">
    <cfRule type="cellIs" dxfId="485" priority="43" operator="equal">
      <formula>"EXTREMA"</formula>
    </cfRule>
    <cfRule type="cellIs" dxfId="484" priority="44" operator="equal">
      <formula>"ALTA"</formula>
    </cfRule>
    <cfRule type="cellIs" dxfId="483" priority="45" operator="equal">
      <formula>"MODERADA"</formula>
    </cfRule>
  </conditionalFormatting>
  <conditionalFormatting sqref="N14:N17">
    <cfRule type="colorScale" priority="42">
      <colorScale>
        <cfvo type="num" val="1"/>
        <cfvo type="num" val="3"/>
        <cfvo type="num" val="5"/>
        <color theme="6" tint="-0.499984740745262"/>
        <color rgb="FFFFFF00"/>
        <color rgb="FFC00000"/>
      </colorScale>
    </cfRule>
  </conditionalFormatting>
  <conditionalFormatting sqref="P14:P17">
    <cfRule type="cellIs" dxfId="482" priority="41" operator="equal">
      <formula>"BAJA"</formula>
    </cfRule>
  </conditionalFormatting>
  <conditionalFormatting sqref="P14:P17">
    <cfRule type="cellIs" dxfId="481" priority="38" operator="equal">
      <formula>"EXTREMA"</formula>
    </cfRule>
    <cfRule type="cellIs" dxfId="480" priority="39" operator="equal">
      <formula>"ALTA"</formula>
    </cfRule>
    <cfRule type="cellIs" dxfId="479" priority="40" operator="equal">
      <formula>"MODERADA"</formula>
    </cfRule>
  </conditionalFormatting>
  <conditionalFormatting sqref="I10 I12">
    <cfRule type="cellIs" dxfId="478" priority="34" operator="equal">
      <formula>"EXTREMA"</formula>
    </cfRule>
    <cfRule type="cellIs" dxfId="477" priority="35" operator="equal">
      <formula>"ALTA"</formula>
    </cfRule>
    <cfRule type="cellIs" dxfId="476" priority="36" operator="equal">
      <formula>"MODERADA"</formula>
    </cfRule>
    <cfRule type="cellIs" dxfId="475" priority="37" operator="equal">
      <formula>"BAJA"</formula>
    </cfRule>
  </conditionalFormatting>
  <conditionalFormatting sqref="G11:H11">
    <cfRule type="colorScale" priority="28">
      <colorScale>
        <cfvo type="num" val="1"/>
        <cfvo type="num" val="3"/>
        <cfvo type="num" val="5"/>
        <color theme="6" tint="-0.499984740745262"/>
        <color rgb="FFFFFF00"/>
        <color rgb="FFC00000"/>
      </colorScale>
    </cfRule>
  </conditionalFormatting>
  <conditionalFormatting sqref="I11">
    <cfRule type="cellIs" dxfId="474" priority="24" operator="equal">
      <formula>"EXTREMA"</formula>
    </cfRule>
    <cfRule type="cellIs" dxfId="473" priority="25" operator="equal">
      <formula>"ALTA"</formula>
    </cfRule>
    <cfRule type="cellIs" dxfId="472" priority="26" operator="equal">
      <formula>"MODERADA"</formula>
    </cfRule>
    <cfRule type="cellIs" dxfId="471" priority="27" operator="equal">
      <formula>"BAJA"</formula>
    </cfRule>
  </conditionalFormatting>
  <conditionalFormatting sqref="I8:I9 P8:P9">
    <cfRule type="cellIs" dxfId="470" priority="18" operator="equal">
      <formula>"BAJA"</formula>
    </cfRule>
  </conditionalFormatting>
  <conditionalFormatting sqref="I8:I9 P8:P9">
    <cfRule type="cellIs" dxfId="469" priority="15" operator="equal">
      <formula>"EXTREMA"</formula>
    </cfRule>
    <cfRule type="cellIs" dxfId="468" priority="16" operator="equal">
      <formula>"ALTA"</formula>
    </cfRule>
    <cfRule type="cellIs" dxfId="467" priority="17" operator="equal">
      <formula>"MODERADA"</formula>
    </cfRule>
  </conditionalFormatting>
  <conditionalFormatting sqref="G8:H9 N8:O9">
    <cfRule type="colorScale" priority="14">
      <colorScale>
        <cfvo type="num" val="1"/>
        <cfvo type="num" val="3"/>
        <cfvo type="num" val="5"/>
        <color theme="6" tint="-0.499984740745262"/>
        <color rgb="FFFFFF00"/>
        <color rgb="FFC00000"/>
      </colorScale>
    </cfRule>
  </conditionalFormatting>
  <conditionalFormatting sqref="F4:G4 N4:O4">
    <cfRule type="colorScale" priority="13">
      <colorScale>
        <cfvo type="num" val="1"/>
        <cfvo type="num" val="3"/>
        <cfvo type="num" val="5"/>
        <color theme="6" tint="-0.499984740745262"/>
        <color rgb="FFFFFF00"/>
        <color rgb="FFC00000"/>
      </colorScale>
    </cfRule>
  </conditionalFormatting>
  <conditionalFormatting sqref="F22:G24">
    <cfRule type="colorScale" priority="11">
      <colorScale>
        <cfvo type="num" val="1"/>
        <cfvo type="num" val="3"/>
        <cfvo type="num" val="5"/>
        <color theme="6" tint="-0.499984740745262"/>
        <color rgb="FFFFFF00"/>
        <color rgb="FFC00000"/>
      </colorScale>
    </cfRule>
  </conditionalFormatting>
  <conditionalFormatting sqref="P10 P12">
    <cfRule type="cellIs" dxfId="466" priority="7" operator="equal">
      <formula>"EXTREMA"</formula>
    </cfRule>
    <cfRule type="cellIs" dxfId="465" priority="8" operator="equal">
      <formula>"ALTA"</formula>
    </cfRule>
    <cfRule type="cellIs" dxfId="464" priority="9" operator="equal">
      <formula>"MODERADA"</formula>
    </cfRule>
    <cfRule type="cellIs" dxfId="463" priority="10" operator="equal">
      <formula>"BAJA"</formula>
    </cfRule>
  </conditionalFormatting>
  <conditionalFormatting sqref="O10:O12">
    <cfRule type="colorScale" priority="6">
      <colorScale>
        <cfvo type="num" val="1"/>
        <cfvo type="num" val="3"/>
        <cfvo type="num" val="5"/>
        <color theme="6" tint="-0.499984740745262"/>
        <color rgb="FFFFFF00"/>
        <color rgb="FFC00000"/>
      </colorScale>
    </cfRule>
  </conditionalFormatting>
  <conditionalFormatting sqref="P11">
    <cfRule type="cellIs" dxfId="462" priority="2" operator="equal">
      <formula>"EXTREMA"</formula>
    </cfRule>
    <cfRule type="cellIs" dxfId="461" priority="3" operator="equal">
      <formula>"ALTA"</formula>
    </cfRule>
    <cfRule type="cellIs" dxfId="460" priority="4" operator="equal">
      <formula>"MODERADA"</formula>
    </cfRule>
    <cfRule type="cellIs" dxfId="459" priority="5" operator="equal">
      <formula>"BAJA"</formula>
    </cfRule>
  </conditionalFormatting>
  <conditionalFormatting sqref="N10:N12">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94488188976377963" bottom="0.55118110236220474" header="0.31496062992125984" footer="0.31496062992125984"/>
  <pageSetup paperSize="5" scale="50"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700-000000000000}">
          <x14:formula1>
            <xm:f>Listas!$A$4:$A$10</xm:f>
          </x14:formula1>
          <xm:sqref>F10:F12</xm:sqref>
        </x14:dataValidation>
        <x14:dataValidation type="list" showInputMessage="1" showErrorMessage="1" xr:uid="{00000000-0002-0000-0700-000001000000}">
          <x14:formula1>
            <xm:f>Listas!$C$4:$C$7</xm:f>
          </x14:formula1>
          <xm:sqref>K10:K12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autoPageBreaks="0"/>
  </sheetPr>
  <dimension ref="A1:AA55"/>
  <sheetViews>
    <sheetView topLeftCell="K2" zoomScale="80" zoomScaleNormal="80" workbookViewId="0">
      <selection activeCell="AA10" sqref="AA10"/>
    </sheetView>
  </sheetViews>
  <sheetFormatPr baseColWidth="10" defaultColWidth="11.42578125" defaultRowHeight="12" x14ac:dyDescent="0.2"/>
  <cols>
    <col min="1" max="1" width="4.7109375" style="229" customWidth="1"/>
    <col min="2" max="3" width="21.7109375" style="229" customWidth="1"/>
    <col min="4" max="4" width="21.7109375" style="229" hidden="1" customWidth="1"/>
    <col min="5" max="5" width="29.85546875" style="229" customWidth="1"/>
    <col min="6" max="8" width="6.7109375" style="229" customWidth="1"/>
    <col min="9" max="9" width="6.7109375" style="13" customWidth="1"/>
    <col min="10" max="10" width="21.7109375" style="20" customWidth="1"/>
    <col min="11" max="11" width="6.7109375" style="20" customWidth="1"/>
    <col min="12" max="15" width="6.7109375" style="229" customWidth="1"/>
    <col min="16" max="17" width="6.7109375" style="13" customWidth="1"/>
    <col min="18" max="18" width="24.7109375" style="229" customWidth="1"/>
    <col min="19" max="19" width="6.7109375" style="229" customWidth="1"/>
    <col min="20" max="20" width="21.140625" style="229" customWidth="1"/>
    <col min="21" max="21" width="16.7109375" style="229" customWidth="1"/>
    <col min="22" max="22" width="30.42578125" style="18" customWidth="1"/>
    <col min="23" max="24" width="36.7109375" style="229" hidden="1" customWidth="1"/>
    <col min="25" max="25" width="19.85546875" style="229" customWidth="1"/>
    <col min="26" max="26" width="23.42578125" style="229" customWidth="1"/>
    <col min="27" max="27" width="24.140625" style="229" customWidth="1"/>
    <col min="28" max="16384" width="11.42578125" style="229"/>
  </cols>
  <sheetData>
    <row r="1" spans="1:27" ht="34.5" customHeight="1" x14ac:dyDescent="0.2">
      <c r="B1" s="555"/>
      <c r="C1" s="555"/>
      <c r="D1" s="556" t="s">
        <v>389</v>
      </c>
      <c r="E1" s="556"/>
      <c r="F1" s="556"/>
      <c r="G1" s="556"/>
      <c r="H1" s="556"/>
      <c r="I1" s="556"/>
      <c r="J1" s="556"/>
      <c r="K1" s="556"/>
      <c r="L1" s="556"/>
      <c r="M1" s="556"/>
      <c r="N1" s="556"/>
      <c r="O1" s="556"/>
      <c r="P1" s="556"/>
      <c r="Q1" s="556"/>
      <c r="R1" s="556"/>
      <c r="S1" s="556"/>
      <c r="T1" s="556"/>
      <c r="U1" s="556"/>
      <c r="V1" s="324" t="s">
        <v>594</v>
      </c>
    </row>
    <row r="2" spans="1:27" ht="34.5" customHeight="1" x14ac:dyDescent="0.2">
      <c r="B2" s="555"/>
      <c r="C2" s="555"/>
      <c r="D2" s="556"/>
      <c r="E2" s="556"/>
      <c r="F2" s="556"/>
      <c r="G2" s="556"/>
      <c r="H2" s="556"/>
      <c r="I2" s="556"/>
      <c r="J2" s="556"/>
      <c r="K2" s="556"/>
      <c r="L2" s="556"/>
      <c r="M2" s="556"/>
      <c r="N2" s="556"/>
      <c r="O2" s="556"/>
      <c r="P2" s="556"/>
      <c r="Q2" s="556"/>
      <c r="R2" s="556"/>
      <c r="S2" s="556"/>
      <c r="T2" s="556"/>
      <c r="U2" s="556"/>
      <c r="V2" s="324" t="s">
        <v>595</v>
      </c>
    </row>
    <row r="3" spans="1:27" ht="34.5" customHeight="1" x14ac:dyDescent="0.2">
      <c r="B3" s="555"/>
      <c r="C3" s="555"/>
      <c r="D3" s="556"/>
      <c r="E3" s="556"/>
      <c r="F3" s="556"/>
      <c r="G3" s="556"/>
      <c r="H3" s="556"/>
      <c r="I3" s="556"/>
      <c r="J3" s="556"/>
      <c r="K3" s="556"/>
      <c r="L3" s="556"/>
      <c r="M3" s="556"/>
      <c r="N3" s="556"/>
      <c r="O3" s="556"/>
      <c r="P3" s="556"/>
      <c r="Q3" s="556"/>
      <c r="R3" s="556"/>
      <c r="S3" s="556"/>
      <c r="T3" s="556"/>
      <c r="U3" s="556"/>
      <c r="V3" s="324" t="s">
        <v>596</v>
      </c>
    </row>
    <row r="4" spans="1:27" s="253" customFormat="1" ht="24" customHeight="1" x14ac:dyDescent="0.3">
      <c r="A4" s="252"/>
      <c r="B4" s="229"/>
      <c r="C4" s="229"/>
      <c r="D4" s="250"/>
      <c r="E4" s="250"/>
      <c r="F4" s="250"/>
      <c r="G4" s="250"/>
      <c r="H4" s="250"/>
      <c r="I4" s="251"/>
      <c r="J4" s="250"/>
      <c r="K4" s="250"/>
      <c r="L4" s="250"/>
      <c r="M4" s="250"/>
      <c r="N4" s="229"/>
      <c r="O4" s="229"/>
      <c r="P4" s="13"/>
      <c r="Q4" s="13"/>
      <c r="R4" s="229"/>
      <c r="S4" s="229"/>
      <c r="T4" s="229"/>
      <c r="U4" s="229"/>
      <c r="V4" s="321"/>
    </row>
    <row r="5" spans="1:27" s="253" customFormat="1" ht="24" customHeight="1" x14ac:dyDescent="0.25">
      <c r="A5" s="252"/>
      <c r="B5" s="553" t="s">
        <v>0</v>
      </c>
      <c r="C5" s="554"/>
      <c r="D5" s="316"/>
      <c r="E5" s="557" t="s">
        <v>396</v>
      </c>
      <c r="F5" s="557"/>
      <c r="G5" s="557"/>
      <c r="H5" s="557"/>
      <c r="I5" s="557"/>
      <c r="J5" s="557"/>
      <c r="K5" s="557"/>
      <c r="L5" s="557"/>
      <c r="M5" s="557"/>
      <c r="N5" s="557"/>
      <c r="O5" s="558"/>
      <c r="P5" s="553" t="s">
        <v>25</v>
      </c>
      <c r="Q5" s="554"/>
      <c r="R5" s="316">
        <v>2020</v>
      </c>
      <c r="S5" s="317"/>
      <c r="T5" s="318"/>
      <c r="V5" s="320"/>
    </row>
    <row r="6" spans="1:27" s="253" customFormat="1" ht="33" customHeight="1" x14ac:dyDescent="0.25">
      <c r="A6" s="252"/>
      <c r="B6" s="553" t="s">
        <v>1</v>
      </c>
      <c r="C6" s="554"/>
      <c r="D6" s="319"/>
      <c r="E6" s="559" t="s">
        <v>510</v>
      </c>
      <c r="F6" s="559"/>
      <c r="G6" s="559"/>
      <c r="H6" s="559"/>
      <c r="I6" s="559"/>
      <c r="J6" s="559"/>
      <c r="K6" s="559"/>
      <c r="L6" s="559"/>
      <c r="M6" s="559"/>
      <c r="N6" s="559"/>
      <c r="O6" s="559"/>
      <c r="P6" s="559"/>
      <c r="Q6" s="559"/>
      <c r="R6" s="559"/>
      <c r="S6" s="559"/>
      <c r="T6" s="560"/>
      <c r="V6" s="322"/>
    </row>
    <row r="7" spans="1:27" s="253" customFormat="1" ht="15.75" thickBot="1" x14ac:dyDescent="0.3">
      <c r="A7" s="252"/>
      <c r="B7" s="255"/>
      <c r="C7" s="255"/>
      <c r="I7" s="254"/>
      <c r="J7" s="256"/>
      <c r="K7" s="256"/>
      <c r="P7" s="254"/>
      <c r="Q7" s="254"/>
      <c r="V7" s="254"/>
    </row>
    <row r="8" spans="1:27" s="258" customFormat="1" ht="30" customHeight="1" thickBot="1" x14ac:dyDescent="0.3">
      <c r="A8" s="257"/>
      <c r="B8" s="606" t="s">
        <v>2</v>
      </c>
      <c r="C8" s="593" t="s">
        <v>3</v>
      </c>
      <c r="D8" s="593" t="s">
        <v>4</v>
      </c>
      <c r="E8" s="593" t="s">
        <v>5</v>
      </c>
      <c r="F8" s="603" t="s">
        <v>28</v>
      </c>
      <c r="G8" s="593" t="s">
        <v>213</v>
      </c>
      <c r="H8" s="593"/>
      <c r="I8" s="601" t="s">
        <v>24</v>
      </c>
      <c r="J8" s="597" t="s">
        <v>11</v>
      </c>
      <c r="K8" s="599" t="s">
        <v>35</v>
      </c>
      <c r="L8" s="600"/>
      <c r="M8" s="595" t="s">
        <v>211</v>
      </c>
      <c r="N8" s="593" t="s">
        <v>214</v>
      </c>
      <c r="O8" s="593"/>
      <c r="P8" s="601" t="s">
        <v>24</v>
      </c>
      <c r="Q8" s="603" t="s">
        <v>10</v>
      </c>
      <c r="R8" s="593" t="s">
        <v>8</v>
      </c>
      <c r="S8" s="591" t="s">
        <v>17</v>
      </c>
      <c r="T8" s="593" t="s">
        <v>231</v>
      </c>
      <c r="U8" s="597" t="s">
        <v>215</v>
      </c>
      <c r="V8" s="593" t="s">
        <v>9</v>
      </c>
      <c r="W8" s="605" t="s">
        <v>224</v>
      </c>
      <c r="X8" s="605"/>
      <c r="Y8" s="551" t="s">
        <v>623</v>
      </c>
      <c r="Z8" s="552"/>
    </row>
    <row r="9" spans="1:27" s="258" customFormat="1" ht="83.25" customHeight="1" thickBot="1" x14ac:dyDescent="0.3">
      <c r="A9" s="257"/>
      <c r="B9" s="607"/>
      <c r="C9" s="594"/>
      <c r="D9" s="594"/>
      <c r="E9" s="594"/>
      <c r="F9" s="604"/>
      <c r="G9" s="521" t="s">
        <v>6</v>
      </c>
      <c r="H9" s="522" t="s">
        <v>7</v>
      </c>
      <c r="I9" s="602"/>
      <c r="J9" s="598"/>
      <c r="K9" s="523" t="s">
        <v>229</v>
      </c>
      <c r="L9" s="524" t="s">
        <v>230</v>
      </c>
      <c r="M9" s="596"/>
      <c r="N9" s="525" t="s">
        <v>6</v>
      </c>
      <c r="O9" s="526" t="s">
        <v>7</v>
      </c>
      <c r="P9" s="602"/>
      <c r="Q9" s="604"/>
      <c r="R9" s="594"/>
      <c r="S9" s="592"/>
      <c r="T9" s="594"/>
      <c r="U9" s="598"/>
      <c r="V9" s="594"/>
      <c r="W9" s="527" t="s">
        <v>206</v>
      </c>
      <c r="X9" s="527" t="s">
        <v>207</v>
      </c>
      <c r="Y9" s="432" t="s">
        <v>658</v>
      </c>
      <c r="Z9" s="433" t="s">
        <v>659</v>
      </c>
    </row>
    <row r="10" spans="1:27" s="253" customFormat="1" ht="159.75" customHeight="1" x14ac:dyDescent="0.25">
      <c r="A10" s="283">
        <v>1</v>
      </c>
      <c r="B10" s="510" t="s">
        <v>441</v>
      </c>
      <c r="C10" s="511" t="s">
        <v>442</v>
      </c>
      <c r="D10" s="510"/>
      <c r="E10" s="510" t="s">
        <v>448</v>
      </c>
      <c r="F10" s="512" t="s">
        <v>15</v>
      </c>
      <c r="G10" s="513">
        <v>3</v>
      </c>
      <c r="H10" s="513">
        <v>4</v>
      </c>
      <c r="I10" s="514" t="str">
        <f>INDEX([11]Listas!$L$4:$P$8,G10,H10)</f>
        <v>EXTREMA</v>
      </c>
      <c r="J10" s="515" t="s">
        <v>449</v>
      </c>
      <c r="K10" s="516" t="s">
        <v>227</v>
      </c>
      <c r="L10" s="516" t="s">
        <v>6</v>
      </c>
      <c r="M10" s="517">
        <v>85</v>
      </c>
      <c r="N10" s="513">
        <v>1</v>
      </c>
      <c r="O10" s="513">
        <v>2</v>
      </c>
      <c r="P10" s="514" t="str">
        <f>INDEX([11]Listas!$L$4:$P$8,N10,O10)</f>
        <v>BAJA</v>
      </c>
      <c r="Q10" s="516" t="s">
        <v>212</v>
      </c>
      <c r="R10" s="510" t="s">
        <v>451</v>
      </c>
      <c r="S10" s="518" t="s">
        <v>18</v>
      </c>
      <c r="T10" s="510" t="s">
        <v>452</v>
      </c>
      <c r="U10" s="510" t="s">
        <v>453</v>
      </c>
      <c r="V10" s="510" t="s">
        <v>603</v>
      </c>
      <c r="W10" s="519"/>
      <c r="X10" s="520"/>
      <c r="Y10" s="437">
        <f>4/82*100%</f>
        <v>4.878048780487805E-2</v>
      </c>
      <c r="Z10" s="437">
        <f>11/82*100%</f>
        <v>0.13414634146341464</v>
      </c>
      <c r="AA10" s="528" t="s">
        <v>745</v>
      </c>
    </row>
    <row r="11" spans="1:27" s="253" customFormat="1" ht="166.5" customHeight="1" x14ac:dyDescent="0.25">
      <c r="A11" s="283">
        <v>2</v>
      </c>
      <c r="B11" s="329" t="s">
        <v>441</v>
      </c>
      <c r="C11" s="325" t="s">
        <v>443</v>
      </c>
      <c r="D11" s="329"/>
      <c r="E11" s="329" t="s">
        <v>444</v>
      </c>
      <c r="F11" s="267" t="s">
        <v>15</v>
      </c>
      <c r="G11" s="265">
        <v>3</v>
      </c>
      <c r="H11" s="265">
        <v>3</v>
      </c>
      <c r="I11" s="387" t="str">
        <f>INDEX([11]Listas!$L$4:$P$8,G11,H11)</f>
        <v>ALTA</v>
      </c>
      <c r="J11" s="327" t="s">
        <v>604</v>
      </c>
      <c r="K11" s="270" t="s">
        <v>228</v>
      </c>
      <c r="L11" s="270" t="s">
        <v>6</v>
      </c>
      <c r="M11" s="491">
        <v>85</v>
      </c>
      <c r="N11" s="265">
        <v>2</v>
      </c>
      <c r="O11" s="265">
        <v>3</v>
      </c>
      <c r="P11" s="387" t="str">
        <f>INDEX([11]Listas!$L$4:$P$8,N11,O11)</f>
        <v>MODERADA</v>
      </c>
      <c r="Q11" s="270" t="s">
        <v>212</v>
      </c>
      <c r="R11" s="329" t="s">
        <v>454</v>
      </c>
      <c r="S11" s="331" t="s">
        <v>18</v>
      </c>
      <c r="T11" s="329" t="s">
        <v>452</v>
      </c>
      <c r="U11" s="329" t="s">
        <v>455</v>
      </c>
      <c r="V11" s="265" t="s">
        <v>605</v>
      </c>
      <c r="W11" s="273"/>
      <c r="X11" s="291"/>
      <c r="Y11" s="378">
        <f>3496944025/3684210328*100%</f>
        <v>0.94917057216392453</v>
      </c>
      <c r="Z11" s="378">
        <f>7039717644/7069057142*100%</f>
        <v>0.9958495882250431</v>
      </c>
    </row>
    <row r="12" spans="1:27" s="253" customFormat="1" ht="154.5" customHeight="1" x14ac:dyDescent="0.25">
      <c r="A12" s="283">
        <v>3</v>
      </c>
      <c r="B12" s="329" t="s">
        <v>445</v>
      </c>
      <c r="C12" s="325" t="s">
        <v>446</v>
      </c>
      <c r="D12" s="329"/>
      <c r="E12" s="329" t="s">
        <v>447</v>
      </c>
      <c r="F12" s="267" t="s">
        <v>15</v>
      </c>
      <c r="G12" s="265">
        <v>4</v>
      </c>
      <c r="H12" s="265">
        <v>1</v>
      </c>
      <c r="I12" s="387" t="str">
        <f>INDEX([11]Listas!$L$4:$P$8,G12,H12)</f>
        <v>MODERADA</v>
      </c>
      <c r="J12" s="327" t="s">
        <v>450</v>
      </c>
      <c r="K12" s="270" t="s">
        <v>228</v>
      </c>
      <c r="L12" s="270" t="s">
        <v>6</v>
      </c>
      <c r="M12" s="491">
        <v>85</v>
      </c>
      <c r="N12" s="265">
        <v>3</v>
      </c>
      <c r="O12" s="265">
        <v>1</v>
      </c>
      <c r="P12" s="387" t="str">
        <f>INDEX([11]Listas!$L$4:$P$8,N12,O12)</f>
        <v>BAJA</v>
      </c>
      <c r="Q12" s="270" t="s">
        <v>212</v>
      </c>
      <c r="R12" s="329" t="s">
        <v>456</v>
      </c>
      <c r="S12" s="331" t="s">
        <v>18</v>
      </c>
      <c r="T12" s="329" t="s">
        <v>457</v>
      </c>
      <c r="U12" s="329" t="s">
        <v>453</v>
      </c>
      <c r="V12" s="265" t="s">
        <v>606</v>
      </c>
      <c r="W12" s="273"/>
      <c r="X12" s="273"/>
      <c r="Y12" s="378">
        <f>555700/555700*100%</f>
        <v>1</v>
      </c>
      <c r="Z12" s="378">
        <f>430/455*100%</f>
        <v>0.94505494505494503</v>
      </c>
    </row>
    <row r="13" spans="1:27" ht="14.25" x14ac:dyDescent="0.2">
      <c r="B13" s="6"/>
      <c r="C13" s="7"/>
      <c r="D13" s="292"/>
      <c r="E13" s="9"/>
      <c r="F13" s="9"/>
      <c r="G13" s="9"/>
      <c r="H13" s="9"/>
      <c r="I13" s="10"/>
      <c r="J13" s="19"/>
      <c r="K13" s="19"/>
      <c r="L13" s="9"/>
      <c r="M13" s="11"/>
      <c r="Y13" s="503">
        <f>AVERAGE(Y10:Y12)</f>
        <v>0.6659836866562675</v>
      </c>
    </row>
    <row r="14" spans="1:27" x14ac:dyDescent="0.2">
      <c r="B14" s="12"/>
      <c r="C14" s="12"/>
      <c r="D14" s="12"/>
      <c r="E14" s="12"/>
      <c r="F14" s="12"/>
      <c r="G14" s="541" t="s">
        <v>97</v>
      </c>
      <c r="H14" s="541"/>
      <c r="I14" s="36">
        <f>COUNTIF(I10:I12,"BAJA")</f>
        <v>0</v>
      </c>
      <c r="J14" s="19"/>
      <c r="K14" s="19"/>
      <c r="L14" s="9"/>
      <c r="M14" s="11"/>
      <c r="N14" s="541" t="s">
        <v>97</v>
      </c>
      <c r="O14" s="541"/>
      <c r="P14" s="36">
        <f>COUNTIF(P10:P12,"BAJA")</f>
        <v>2</v>
      </c>
    </row>
    <row r="15" spans="1:27" x14ac:dyDescent="0.2">
      <c r="B15" s="571"/>
      <c r="C15" s="571"/>
      <c r="D15" s="571"/>
      <c r="E15" s="571"/>
      <c r="F15" s="571"/>
      <c r="G15" s="541" t="s">
        <v>99</v>
      </c>
      <c r="H15" s="541"/>
      <c r="I15" s="36">
        <f>COUNTIF(I10:I12,"MODERADA")</f>
        <v>1</v>
      </c>
      <c r="J15" s="19"/>
      <c r="K15" s="19"/>
      <c r="L15" s="9"/>
      <c r="M15" s="12"/>
      <c r="N15" s="541" t="s">
        <v>99</v>
      </c>
      <c r="O15" s="541"/>
      <c r="P15" s="36">
        <f>COUNTIF(P10:P12,"MODERADA")</f>
        <v>1</v>
      </c>
    </row>
    <row r="16" spans="1:27" x14ac:dyDescent="0.2">
      <c r="B16" s="9"/>
      <c r="C16" s="9"/>
      <c r="D16" s="9"/>
      <c r="E16" s="9"/>
      <c r="F16" s="9"/>
      <c r="G16" s="541" t="s">
        <v>98</v>
      </c>
      <c r="H16" s="541"/>
      <c r="I16" s="36">
        <f>COUNTIF(I10:I12,"ALTA")</f>
        <v>1</v>
      </c>
      <c r="J16" s="19"/>
      <c r="K16" s="19"/>
      <c r="L16" s="9"/>
      <c r="M16" s="9"/>
      <c r="N16" s="541" t="s">
        <v>98</v>
      </c>
      <c r="O16" s="541"/>
      <c r="P16" s="36">
        <f>COUNTIF(P10:P12,"ALTA")</f>
        <v>0</v>
      </c>
      <c r="Q16" s="229"/>
      <c r="V16" s="229"/>
    </row>
    <row r="17" spans="2:22" ht="15.75" x14ac:dyDescent="0.2">
      <c r="B17" s="341"/>
      <c r="C17" s="9"/>
      <c r="D17" s="9"/>
      <c r="E17" s="340"/>
      <c r="F17" s="9"/>
      <c r="G17" s="541" t="s">
        <v>100</v>
      </c>
      <c r="H17" s="541"/>
      <c r="I17" s="36">
        <f>COUNTIF(I10:I12,"EXTREMA")</f>
        <v>1</v>
      </c>
      <c r="J17" s="19"/>
      <c r="K17" s="19"/>
      <c r="L17" s="9"/>
      <c r="M17" s="9"/>
      <c r="N17" s="541" t="s">
        <v>100</v>
      </c>
      <c r="O17" s="541"/>
      <c r="P17" s="36">
        <f>COUNTIF(P10:P12,"EXTREMA")</f>
        <v>0</v>
      </c>
      <c r="Q17" s="229"/>
      <c r="V17" s="229"/>
    </row>
    <row r="18" spans="2:22" x14ac:dyDescent="0.2">
      <c r="B18" s="9"/>
      <c r="C18" s="9"/>
      <c r="D18" s="9"/>
      <c r="E18" s="9"/>
      <c r="G18" s="9"/>
      <c r="H18" s="9"/>
      <c r="I18" s="10"/>
      <c r="J18" s="19"/>
      <c r="K18" s="19"/>
      <c r="L18" s="9"/>
      <c r="M18" s="9" t="s">
        <v>21</v>
      </c>
      <c r="P18" s="229"/>
      <c r="Q18" s="229"/>
      <c r="V18" s="229"/>
    </row>
    <row r="19" spans="2:22" x14ac:dyDescent="0.2">
      <c r="D19" s="9"/>
      <c r="E19" s="9"/>
      <c r="G19" s="9"/>
      <c r="H19" s="9"/>
      <c r="I19" s="10"/>
      <c r="J19" s="19"/>
      <c r="K19" s="19"/>
      <c r="L19" s="9"/>
      <c r="M19" s="9"/>
      <c r="P19" s="229"/>
      <c r="Q19" s="229"/>
      <c r="V19" s="229"/>
    </row>
    <row r="20" spans="2:22" x14ac:dyDescent="0.2">
      <c r="D20" s="9"/>
      <c r="E20" s="9"/>
      <c r="G20" s="9"/>
      <c r="H20" s="9"/>
      <c r="I20" s="10"/>
      <c r="J20" s="19"/>
      <c r="K20" s="19"/>
      <c r="L20" s="9"/>
      <c r="M20" s="9"/>
      <c r="P20" s="229"/>
      <c r="Q20" s="229"/>
      <c r="V20" s="229"/>
    </row>
    <row r="21" spans="2:22" ht="15" x14ac:dyDescent="0.2">
      <c r="B21" s="367"/>
      <c r="C21" s="368"/>
      <c r="D21" s="362"/>
      <c r="E21" s="233"/>
      <c r="F21" s="233"/>
      <c r="G21" s="233"/>
      <c r="I21" s="10"/>
      <c r="P21" s="229"/>
      <c r="Q21" s="229"/>
      <c r="V21" s="229"/>
    </row>
    <row r="22" spans="2:22" ht="15" x14ac:dyDescent="0.2">
      <c r="B22" s="363" t="s">
        <v>714</v>
      </c>
      <c r="C22" s="366"/>
      <c r="D22" s="364"/>
      <c r="E22" s="365" t="s">
        <v>654</v>
      </c>
      <c r="F22" s="365"/>
      <c r="G22" s="365"/>
      <c r="I22" s="10"/>
      <c r="P22" s="229"/>
      <c r="Q22" s="229"/>
      <c r="V22" s="229"/>
    </row>
    <row r="23" spans="2:22" ht="15" x14ac:dyDescent="0.2">
      <c r="B23" s="232" t="s">
        <v>244</v>
      </c>
      <c r="C23" s="171"/>
      <c r="D23" s="172"/>
      <c r="E23" s="232" t="s">
        <v>245</v>
      </c>
      <c r="F23" s="171"/>
      <c r="G23" s="14"/>
      <c r="I23" s="10"/>
      <c r="P23" s="229"/>
      <c r="Q23" s="229"/>
      <c r="V23" s="229"/>
    </row>
    <row r="24" spans="2:22" x14ac:dyDescent="0.2">
      <c r="D24" s="9"/>
      <c r="H24" s="9"/>
      <c r="I24" s="10"/>
      <c r="P24" s="229"/>
      <c r="Q24" s="229"/>
      <c r="V24" s="229"/>
    </row>
    <row r="25" spans="2:22" x14ac:dyDescent="0.2">
      <c r="D25" s="9"/>
      <c r="H25" s="9"/>
      <c r="I25" s="10"/>
      <c r="P25" s="229"/>
      <c r="Q25" s="229"/>
      <c r="V25" s="229"/>
    </row>
    <row r="26" spans="2:22" x14ac:dyDescent="0.2">
      <c r="D26" s="9"/>
      <c r="H26" s="9"/>
      <c r="I26" s="10"/>
      <c r="P26" s="229"/>
      <c r="Q26" s="229"/>
      <c r="V26" s="229"/>
    </row>
    <row r="27" spans="2:22" x14ac:dyDescent="0.2">
      <c r="D27" s="9"/>
      <c r="H27" s="9"/>
      <c r="I27" s="10"/>
      <c r="P27" s="229"/>
      <c r="Q27" s="229"/>
      <c r="V27" s="229"/>
    </row>
    <row r="28" spans="2:22" x14ac:dyDescent="0.2">
      <c r="D28" s="9"/>
      <c r="H28" s="9"/>
      <c r="I28" s="10"/>
      <c r="P28" s="229"/>
      <c r="Q28" s="229"/>
      <c r="V28" s="229"/>
    </row>
    <row r="29" spans="2:22" x14ac:dyDescent="0.2">
      <c r="D29" s="9"/>
      <c r="P29" s="229"/>
      <c r="Q29" s="229"/>
      <c r="V29" s="229"/>
    </row>
    <row r="30" spans="2:22" x14ac:dyDescent="0.2">
      <c r="D30" s="9"/>
      <c r="P30" s="229"/>
      <c r="Q30" s="229"/>
      <c r="V30" s="229"/>
    </row>
    <row r="31" spans="2:22" x14ac:dyDescent="0.2">
      <c r="D31" s="9"/>
      <c r="P31" s="229"/>
      <c r="Q31" s="229"/>
      <c r="V31" s="229"/>
    </row>
    <row r="32" spans="2:22" x14ac:dyDescent="0.2">
      <c r="D32" s="9"/>
      <c r="I32" s="229"/>
      <c r="J32" s="229"/>
      <c r="K32" s="229"/>
      <c r="P32" s="229"/>
      <c r="Q32" s="229"/>
      <c r="V32" s="229"/>
    </row>
    <row r="33" spans="4:22" x14ac:dyDescent="0.2">
      <c r="D33" s="9"/>
      <c r="I33" s="229"/>
      <c r="J33" s="229"/>
      <c r="K33" s="229"/>
      <c r="P33" s="229"/>
      <c r="Q33" s="229"/>
      <c r="V33" s="229"/>
    </row>
    <row r="34" spans="4:22" x14ac:dyDescent="0.2">
      <c r="D34" s="9"/>
      <c r="I34" s="229"/>
      <c r="J34" s="229"/>
      <c r="K34" s="229"/>
      <c r="P34" s="229"/>
      <c r="Q34" s="229"/>
      <c r="V34" s="229"/>
    </row>
    <row r="35" spans="4:22" x14ac:dyDescent="0.2">
      <c r="D35" s="9"/>
      <c r="I35" s="229"/>
      <c r="J35" s="229"/>
      <c r="K35" s="229"/>
      <c r="P35" s="229"/>
      <c r="Q35" s="229"/>
      <c r="V35" s="229"/>
    </row>
    <row r="36" spans="4:22" x14ac:dyDescent="0.2">
      <c r="D36" s="9"/>
      <c r="I36" s="229"/>
      <c r="J36" s="229"/>
      <c r="K36" s="229"/>
      <c r="P36" s="229"/>
      <c r="Q36" s="229"/>
      <c r="V36" s="229"/>
    </row>
    <row r="37" spans="4:22" x14ac:dyDescent="0.2">
      <c r="D37" s="9"/>
      <c r="I37" s="229"/>
      <c r="J37" s="229"/>
      <c r="K37" s="229"/>
      <c r="P37" s="229"/>
      <c r="Q37" s="229"/>
      <c r="V37" s="229"/>
    </row>
    <row r="38" spans="4:22" x14ac:dyDescent="0.2">
      <c r="D38" s="9"/>
      <c r="I38" s="229"/>
      <c r="J38" s="229"/>
      <c r="K38" s="229"/>
      <c r="P38" s="229"/>
      <c r="Q38" s="229"/>
      <c r="V38" s="229"/>
    </row>
    <row r="39" spans="4:22" x14ac:dyDescent="0.2">
      <c r="D39" s="9"/>
      <c r="I39" s="229"/>
      <c r="J39" s="229"/>
      <c r="K39" s="229"/>
      <c r="P39" s="229"/>
      <c r="Q39" s="229"/>
      <c r="V39" s="229"/>
    </row>
    <row r="40" spans="4:22" x14ac:dyDescent="0.2">
      <c r="D40" s="9"/>
      <c r="I40" s="229"/>
      <c r="J40" s="229"/>
      <c r="K40" s="229"/>
      <c r="P40" s="229"/>
      <c r="Q40" s="229"/>
      <c r="V40" s="229"/>
    </row>
    <row r="41" spans="4:22" x14ac:dyDescent="0.2">
      <c r="D41" s="9"/>
      <c r="I41" s="229"/>
      <c r="J41" s="229"/>
      <c r="K41" s="229"/>
      <c r="P41" s="229"/>
      <c r="Q41" s="229"/>
      <c r="V41" s="229"/>
    </row>
    <row r="42" spans="4:22" x14ac:dyDescent="0.2">
      <c r="D42" s="9"/>
      <c r="I42" s="229"/>
      <c r="J42" s="229"/>
      <c r="K42" s="229"/>
      <c r="P42" s="229"/>
      <c r="Q42" s="229"/>
      <c r="V42" s="229"/>
    </row>
    <row r="43" spans="4:22" x14ac:dyDescent="0.2">
      <c r="D43" s="9"/>
      <c r="I43" s="229"/>
      <c r="J43" s="229"/>
      <c r="K43" s="229"/>
      <c r="P43" s="229"/>
      <c r="Q43" s="229"/>
      <c r="V43" s="229"/>
    </row>
    <row r="44" spans="4:22" x14ac:dyDescent="0.2">
      <c r="D44" s="9"/>
      <c r="I44" s="229"/>
      <c r="J44" s="229"/>
      <c r="K44" s="229"/>
      <c r="P44" s="229"/>
      <c r="Q44" s="229"/>
      <c r="V44" s="229"/>
    </row>
    <row r="45" spans="4:22" x14ac:dyDescent="0.2">
      <c r="D45" s="9"/>
      <c r="I45" s="229"/>
      <c r="J45" s="229"/>
      <c r="K45" s="229"/>
      <c r="P45" s="229"/>
      <c r="Q45" s="229"/>
      <c r="V45" s="229"/>
    </row>
    <row r="46" spans="4:22" x14ac:dyDescent="0.2">
      <c r="D46" s="9"/>
      <c r="I46" s="229"/>
      <c r="J46" s="229"/>
      <c r="K46" s="229"/>
      <c r="P46" s="229"/>
      <c r="Q46" s="229"/>
      <c r="V46" s="229"/>
    </row>
    <row r="47" spans="4:22" x14ac:dyDescent="0.2">
      <c r="D47" s="9"/>
      <c r="I47" s="229"/>
      <c r="J47" s="229"/>
      <c r="K47" s="229"/>
      <c r="P47" s="229"/>
      <c r="Q47" s="229"/>
      <c r="V47" s="229"/>
    </row>
    <row r="48" spans="4:22" x14ac:dyDescent="0.2">
      <c r="D48" s="9"/>
      <c r="I48" s="229"/>
      <c r="J48" s="229"/>
      <c r="K48" s="229"/>
      <c r="P48" s="229"/>
      <c r="Q48" s="229"/>
      <c r="V48" s="229"/>
    </row>
    <row r="49" spans="4:22" x14ac:dyDescent="0.2">
      <c r="D49" s="9"/>
      <c r="I49" s="229"/>
      <c r="J49" s="229"/>
      <c r="K49" s="229"/>
      <c r="P49" s="229"/>
      <c r="Q49" s="229"/>
      <c r="V49" s="229"/>
    </row>
    <row r="50" spans="4:22" x14ac:dyDescent="0.2">
      <c r="D50" s="9"/>
      <c r="I50" s="229"/>
      <c r="J50" s="229"/>
      <c r="K50" s="229"/>
      <c r="P50" s="229"/>
      <c r="Q50" s="229"/>
      <c r="V50" s="229"/>
    </row>
    <row r="51" spans="4:22" x14ac:dyDescent="0.2">
      <c r="D51" s="9"/>
      <c r="I51" s="229"/>
      <c r="J51" s="229"/>
      <c r="K51" s="229"/>
      <c r="P51" s="229"/>
      <c r="Q51" s="229"/>
      <c r="V51" s="229"/>
    </row>
    <row r="52" spans="4:22" x14ac:dyDescent="0.2">
      <c r="D52" s="9"/>
      <c r="I52" s="229"/>
      <c r="J52" s="229"/>
      <c r="K52" s="229"/>
      <c r="P52" s="229"/>
      <c r="Q52" s="229"/>
      <c r="V52" s="229"/>
    </row>
    <row r="53" spans="4:22" x14ac:dyDescent="0.2">
      <c r="D53" s="9"/>
      <c r="I53" s="229"/>
      <c r="J53" s="229"/>
      <c r="K53" s="229"/>
      <c r="P53" s="229"/>
      <c r="Q53" s="229"/>
      <c r="V53" s="229"/>
    </row>
    <row r="54" spans="4:22" x14ac:dyDescent="0.2">
      <c r="D54" s="9"/>
      <c r="I54" s="229"/>
      <c r="J54" s="229"/>
      <c r="K54" s="229"/>
      <c r="P54" s="229"/>
      <c r="Q54" s="229"/>
      <c r="V54" s="229"/>
    </row>
    <row r="55" spans="4:22" x14ac:dyDescent="0.2">
      <c r="D55" s="9"/>
      <c r="I55" s="229"/>
      <c r="J55" s="229"/>
      <c r="K55" s="229"/>
      <c r="P55" s="229"/>
      <c r="Q55" s="229"/>
      <c r="V55" s="229"/>
    </row>
  </sheetData>
  <customSheetViews>
    <customSheetView guid="{B83C9EB8-C964-4489-98C8-19C81BFAE010}"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
    </customSheetView>
    <customSheetView guid="{42BB51DB-DC3E-4DA5-9499-5574EB19780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2"/>
    </customSheetView>
    <customSheetView guid="{D8BB7E15-0E8F-45FC-AD1A-6D8C295A087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3"/>
    </customSheetView>
    <customSheetView guid="{F7D68F61-F89A-4541-9A78-C25C58CA23E3}"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C8C25E0F-313C-40E1-BC27-B55128053FAD}"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D674221F-3F50-45D7-B99E-107AE99970D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E51A7B7A-B72C-4D0D-BEC9-3100296DDB1B}"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C9A17BF0-2451-44C4-898F-CFB8403323EA}"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DC041AD4-35AB-4F1B-9F3D-F08C88A9A16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CC42E740-ADA2-4B3E-AB77-9BBCCE9EC444}"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6"/>
    </customSheetView>
    <customSheetView guid="{AF3BF2A1-5C19-43AE-A08B-3E418E8AE54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7"/>
    </customSheetView>
    <customSheetView guid="{ADD38025-F4B2-44E2-9D06-07A9BF0F3A51}"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8"/>
    </customSheetView>
    <customSheetView guid="{97D65C1E-976A-4956-97FC-0E8188ABCFAA}"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9"/>
    </customSheetView>
  </customSheetViews>
  <mergeCells count="36">
    <mergeCell ref="Y8:Z8"/>
    <mergeCell ref="B1:C3"/>
    <mergeCell ref="D1:U3"/>
    <mergeCell ref="B5:C5"/>
    <mergeCell ref="E5:O5"/>
    <mergeCell ref="P5:Q5"/>
    <mergeCell ref="W8:X8"/>
    <mergeCell ref="J8:J9"/>
    <mergeCell ref="B6:C6"/>
    <mergeCell ref="E6:T6"/>
    <mergeCell ref="B8:B9"/>
    <mergeCell ref="C8:C9"/>
    <mergeCell ref="D8:D9"/>
    <mergeCell ref="E8:E9"/>
    <mergeCell ref="F8:F9"/>
    <mergeCell ref="B15:F15"/>
    <mergeCell ref="G15:H15"/>
    <mergeCell ref="N15:O15"/>
    <mergeCell ref="G16:H16"/>
    <mergeCell ref="N16:O16"/>
    <mergeCell ref="G17:H17"/>
    <mergeCell ref="N17:O17"/>
    <mergeCell ref="S8:S9"/>
    <mergeCell ref="T8:T9"/>
    <mergeCell ref="V8:V9"/>
    <mergeCell ref="M8:M9"/>
    <mergeCell ref="U8:U9"/>
    <mergeCell ref="K8:L8"/>
    <mergeCell ref="G14:H14"/>
    <mergeCell ref="N14:O14"/>
    <mergeCell ref="N8:O8"/>
    <mergeCell ref="P8:P9"/>
    <mergeCell ref="Q8:Q9"/>
    <mergeCell ref="R8:R9"/>
    <mergeCell ref="G8:H8"/>
    <mergeCell ref="I8:I9"/>
  </mergeCells>
  <conditionalFormatting sqref="I7 P7 I13:I1048576 P13:P1048576">
    <cfRule type="cellIs" dxfId="458" priority="98" operator="equal">
      <formula>"BAJA"</formula>
    </cfRule>
  </conditionalFormatting>
  <conditionalFormatting sqref="I7 P7 I13:I1048576 P13:P1048576">
    <cfRule type="cellIs" dxfId="457" priority="95" operator="equal">
      <formula>"EXTREMA"</formula>
    </cfRule>
    <cfRule type="cellIs" dxfId="456" priority="96" operator="equal">
      <formula>"ALTA"</formula>
    </cfRule>
    <cfRule type="cellIs" dxfId="455" priority="97" operator="equal">
      <formula>"MODERADA"</formula>
    </cfRule>
  </conditionalFormatting>
  <conditionalFormatting sqref="F13:G20 F7:G7 N7:O7 N13:O1048576 F24:G1048576">
    <cfRule type="colorScale" priority="94">
      <colorScale>
        <cfvo type="num" val="1"/>
        <cfvo type="num" val="3"/>
        <cfvo type="num" val="5"/>
        <color theme="6" tint="-0.499984740745262"/>
        <color rgb="FFFFFF00"/>
        <color rgb="FFC00000"/>
      </colorScale>
    </cfRule>
  </conditionalFormatting>
  <conditionalFormatting sqref="I14:I17">
    <cfRule type="cellIs" dxfId="454" priority="93" operator="equal">
      <formula>"BAJA"</formula>
    </cfRule>
  </conditionalFormatting>
  <conditionalFormatting sqref="I14:I17">
    <cfRule type="cellIs" dxfId="453" priority="90" operator="equal">
      <formula>"EXTREMA"</formula>
    </cfRule>
    <cfRule type="cellIs" dxfId="452" priority="91" operator="equal">
      <formula>"ALTA"</formula>
    </cfRule>
    <cfRule type="cellIs" dxfId="451" priority="92" operator="equal">
      <formula>"MODERADA"</formula>
    </cfRule>
  </conditionalFormatting>
  <conditionalFormatting sqref="G14:G17">
    <cfRule type="colorScale" priority="89">
      <colorScale>
        <cfvo type="num" val="1"/>
        <cfvo type="num" val="3"/>
        <cfvo type="num" val="5"/>
        <color theme="6" tint="-0.499984740745262"/>
        <color rgb="FFFFFF00"/>
        <color rgb="FFC00000"/>
      </colorScale>
    </cfRule>
  </conditionalFormatting>
  <conditionalFormatting sqref="I14:I17">
    <cfRule type="cellIs" dxfId="450" priority="88" operator="equal">
      <formula>"BAJA"</formula>
    </cfRule>
  </conditionalFormatting>
  <conditionalFormatting sqref="I14:I17">
    <cfRule type="cellIs" dxfId="449" priority="85" operator="equal">
      <formula>"EXTREMA"</formula>
    </cfRule>
    <cfRule type="cellIs" dxfId="448" priority="86" operator="equal">
      <formula>"ALTA"</formula>
    </cfRule>
    <cfRule type="cellIs" dxfId="447" priority="87" operator="equal">
      <formula>"MODERADA"</formula>
    </cfRule>
  </conditionalFormatting>
  <conditionalFormatting sqref="G14:G17">
    <cfRule type="colorScale" priority="84">
      <colorScale>
        <cfvo type="num" val="1"/>
        <cfvo type="num" val="3"/>
        <cfvo type="num" val="5"/>
        <color theme="6" tint="-0.499984740745262"/>
        <color rgb="FFFFFF00"/>
        <color rgb="FFC00000"/>
      </colorScale>
    </cfRule>
  </conditionalFormatting>
  <conditionalFormatting sqref="I14:I17">
    <cfRule type="cellIs" dxfId="446" priority="83" operator="equal">
      <formula>"BAJA"</formula>
    </cfRule>
  </conditionalFormatting>
  <conditionalFormatting sqref="I14:I17">
    <cfRule type="cellIs" dxfId="445" priority="80" operator="equal">
      <formula>"EXTREMA"</formula>
    </cfRule>
    <cfRule type="cellIs" dxfId="444" priority="81" operator="equal">
      <formula>"ALTA"</formula>
    </cfRule>
    <cfRule type="cellIs" dxfId="443" priority="82" operator="equal">
      <formula>"MODERADA"</formula>
    </cfRule>
  </conditionalFormatting>
  <conditionalFormatting sqref="G14:G17">
    <cfRule type="colorScale" priority="79">
      <colorScale>
        <cfvo type="num" val="1"/>
        <cfvo type="num" val="3"/>
        <cfvo type="num" val="5"/>
        <color theme="6" tint="-0.499984740745262"/>
        <color rgb="FFFFFF00"/>
        <color rgb="FFC00000"/>
      </colorScale>
    </cfRule>
  </conditionalFormatting>
  <conditionalFormatting sqref="I14:I17">
    <cfRule type="cellIs" dxfId="442" priority="78" operator="equal">
      <formula>"BAJA"</formula>
    </cfRule>
  </conditionalFormatting>
  <conditionalFormatting sqref="I14:I17">
    <cfRule type="cellIs" dxfId="441" priority="75" operator="equal">
      <formula>"EXTREMA"</formula>
    </cfRule>
    <cfRule type="cellIs" dxfId="440" priority="76" operator="equal">
      <formula>"ALTA"</formula>
    </cfRule>
    <cfRule type="cellIs" dxfId="439" priority="77" operator="equal">
      <formula>"MODERADA"</formula>
    </cfRule>
  </conditionalFormatting>
  <conditionalFormatting sqref="G14:G17">
    <cfRule type="colorScale" priority="74">
      <colorScale>
        <cfvo type="num" val="1"/>
        <cfvo type="num" val="3"/>
        <cfvo type="num" val="5"/>
        <color theme="6" tint="-0.499984740745262"/>
        <color rgb="FFFFFF00"/>
        <color rgb="FFC00000"/>
      </colorScale>
    </cfRule>
  </conditionalFormatting>
  <conditionalFormatting sqref="I14:I17">
    <cfRule type="cellIs" dxfId="438" priority="73" operator="equal">
      <formula>"BAJA"</formula>
    </cfRule>
  </conditionalFormatting>
  <conditionalFormatting sqref="I14:I17">
    <cfRule type="cellIs" dxfId="437" priority="70" operator="equal">
      <formula>"EXTREMA"</formula>
    </cfRule>
    <cfRule type="cellIs" dxfId="436" priority="71" operator="equal">
      <formula>"ALTA"</formula>
    </cfRule>
    <cfRule type="cellIs" dxfId="435" priority="72" operator="equal">
      <formula>"MODERADA"</formula>
    </cfRule>
  </conditionalFormatting>
  <conditionalFormatting sqref="G14:G17">
    <cfRule type="colorScale" priority="69">
      <colorScale>
        <cfvo type="num" val="1"/>
        <cfvo type="num" val="3"/>
        <cfvo type="num" val="5"/>
        <color theme="6" tint="-0.499984740745262"/>
        <color rgb="FFFFFF00"/>
        <color rgb="FFC00000"/>
      </colorScale>
    </cfRule>
  </conditionalFormatting>
  <conditionalFormatting sqref="I14:I17">
    <cfRule type="cellIs" dxfId="434" priority="68" operator="equal">
      <formula>"BAJA"</formula>
    </cfRule>
  </conditionalFormatting>
  <conditionalFormatting sqref="I14:I17">
    <cfRule type="cellIs" dxfId="433" priority="65" operator="equal">
      <formula>"EXTREMA"</formula>
    </cfRule>
    <cfRule type="cellIs" dxfId="432" priority="66" operator="equal">
      <formula>"ALTA"</formula>
    </cfRule>
    <cfRule type="cellIs" dxfId="431" priority="67" operator="equal">
      <formula>"MODERADA"</formula>
    </cfRule>
  </conditionalFormatting>
  <conditionalFormatting sqref="P14:P17">
    <cfRule type="cellIs" dxfId="430" priority="64" operator="equal">
      <formula>"BAJA"</formula>
    </cfRule>
  </conditionalFormatting>
  <conditionalFormatting sqref="P14:P17">
    <cfRule type="cellIs" dxfId="429" priority="61" operator="equal">
      <formula>"EXTREMA"</formula>
    </cfRule>
    <cfRule type="cellIs" dxfId="428" priority="62" operator="equal">
      <formula>"ALTA"</formula>
    </cfRule>
    <cfRule type="cellIs" dxfId="427" priority="63" operator="equal">
      <formula>"MODERADA"</formula>
    </cfRule>
  </conditionalFormatting>
  <conditionalFormatting sqref="N14:N17">
    <cfRule type="colorScale" priority="60">
      <colorScale>
        <cfvo type="num" val="1"/>
        <cfvo type="num" val="3"/>
        <cfvo type="num" val="5"/>
        <color theme="6" tint="-0.499984740745262"/>
        <color rgb="FFFFFF00"/>
        <color rgb="FFC00000"/>
      </colorScale>
    </cfRule>
  </conditionalFormatting>
  <conditionalFormatting sqref="P14:P17">
    <cfRule type="cellIs" dxfId="426" priority="59" operator="equal">
      <formula>"BAJA"</formula>
    </cfRule>
  </conditionalFormatting>
  <conditionalFormatting sqref="P14:P17">
    <cfRule type="cellIs" dxfId="425" priority="56" operator="equal">
      <formula>"EXTREMA"</formula>
    </cfRule>
    <cfRule type="cellIs" dxfId="424" priority="57" operator="equal">
      <formula>"ALTA"</formula>
    </cfRule>
    <cfRule type="cellIs" dxfId="423" priority="58" operator="equal">
      <formula>"MODERADA"</formula>
    </cfRule>
  </conditionalFormatting>
  <conditionalFormatting sqref="N14:N17">
    <cfRule type="colorScale" priority="55">
      <colorScale>
        <cfvo type="num" val="1"/>
        <cfvo type="num" val="3"/>
        <cfvo type="num" val="5"/>
        <color theme="6" tint="-0.499984740745262"/>
        <color rgb="FFFFFF00"/>
        <color rgb="FFC00000"/>
      </colorScale>
    </cfRule>
  </conditionalFormatting>
  <conditionalFormatting sqref="P14:P17">
    <cfRule type="cellIs" dxfId="422" priority="54" operator="equal">
      <formula>"BAJA"</formula>
    </cfRule>
  </conditionalFormatting>
  <conditionalFormatting sqref="P14:P17">
    <cfRule type="cellIs" dxfId="421" priority="51" operator="equal">
      <formula>"EXTREMA"</formula>
    </cfRule>
    <cfRule type="cellIs" dxfId="420" priority="52" operator="equal">
      <formula>"ALTA"</formula>
    </cfRule>
    <cfRule type="cellIs" dxfId="419" priority="53" operator="equal">
      <formula>"MODERADA"</formula>
    </cfRule>
  </conditionalFormatting>
  <conditionalFormatting sqref="N14:N17">
    <cfRule type="colorScale" priority="50">
      <colorScale>
        <cfvo type="num" val="1"/>
        <cfvo type="num" val="3"/>
        <cfvo type="num" val="5"/>
        <color theme="6" tint="-0.499984740745262"/>
        <color rgb="FFFFFF00"/>
        <color rgb="FFC00000"/>
      </colorScale>
    </cfRule>
  </conditionalFormatting>
  <conditionalFormatting sqref="P14:P17">
    <cfRule type="cellIs" dxfId="418" priority="49" operator="equal">
      <formula>"BAJA"</formula>
    </cfRule>
  </conditionalFormatting>
  <conditionalFormatting sqref="P14:P17">
    <cfRule type="cellIs" dxfId="417" priority="46" operator="equal">
      <formula>"EXTREMA"</formula>
    </cfRule>
    <cfRule type="cellIs" dxfId="416" priority="47" operator="equal">
      <formula>"ALTA"</formula>
    </cfRule>
    <cfRule type="cellIs" dxfId="415" priority="48" operator="equal">
      <formula>"MODERADA"</formula>
    </cfRule>
  </conditionalFormatting>
  <conditionalFormatting sqref="N14:N17">
    <cfRule type="colorScale" priority="45">
      <colorScale>
        <cfvo type="num" val="1"/>
        <cfvo type="num" val="3"/>
        <cfvo type="num" val="5"/>
        <color theme="6" tint="-0.499984740745262"/>
        <color rgb="FFFFFF00"/>
        <color rgb="FFC00000"/>
      </colorScale>
    </cfRule>
  </conditionalFormatting>
  <conditionalFormatting sqref="P14:P17">
    <cfRule type="cellIs" dxfId="414" priority="44" operator="equal">
      <formula>"BAJA"</formula>
    </cfRule>
  </conditionalFormatting>
  <conditionalFormatting sqref="P14:P17">
    <cfRule type="cellIs" dxfId="413" priority="41" operator="equal">
      <formula>"EXTREMA"</formula>
    </cfRule>
    <cfRule type="cellIs" dxfId="412" priority="42" operator="equal">
      <formula>"ALTA"</formula>
    </cfRule>
    <cfRule type="cellIs" dxfId="411" priority="43" operator="equal">
      <formula>"MODERADA"</formula>
    </cfRule>
  </conditionalFormatting>
  <conditionalFormatting sqref="N14:N17">
    <cfRule type="colorScale" priority="40">
      <colorScale>
        <cfvo type="num" val="1"/>
        <cfvo type="num" val="3"/>
        <cfvo type="num" val="5"/>
        <color theme="6" tint="-0.499984740745262"/>
        <color rgb="FFFFFF00"/>
        <color rgb="FFC00000"/>
      </colorScale>
    </cfRule>
  </conditionalFormatting>
  <conditionalFormatting sqref="P14:P17">
    <cfRule type="cellIs" dxfId="410" priority="39" operator="equal">
      <formula>"BAJA"</formula>
    </cfRule>
  </conditionalFormatting>
  <conditionalFormatting sqref="P14:P17">
    <cfRule type="cellIs" dxfId="409" priority="36" operator="equal">
      <formula>"EXTREMA"</formula>
    </cfRule>
    <cfRule type="cellIs" dxfId="408" priority="37" operator="equal">
      <formula>"ALTA"</formula>
    </cfRule>
    <cfRule type="cellIs" dxfId="407" priority="38" operator="equal">
      <formula>"MODERADA"</formula>
    </cfRule>
  </conditionalFormatting>
  <conditionalFormatting sqref="I8:I9 P8:P9">
    <cfRule type="cellIs" dxfId="406" priority="26" operator="equal">
      <formula>"BAJA"</formula>
    </cfRule>
  </conditionalFormatting>
  <conditionalFormatting sqref="I8:I9 P8:P9">
    <cfRule type="cellIs" dxfId="405" priority="23" operator="equal">
      <formula>"EXTREMA"</formula>
    </cfRule>
    <cfRule type="cellIs" dxfId="404" priority="24" operator="equal">
      <formula>"ALTA"</formula>
    </cfRule>
    <cfRule type="cellIs" dxfId="403" priority="25" operator="equal">
      <formula>"MODERADA"</formula>
    </cfRule>
  </conditionalFormatting>
  <conditionalFormatting sqref="G8:H9 N8:O9">
    <cfRule type="colorScale" priority="22">
      <colorScale>
        <cfvo type="num" val="1"/>
        <cfvo type="num" val="3"/>
        <cfvo type="num" val="5"/>
        <color theme="6" tint="-0.499984740745262"/>
        <color rgb="FFFFFF00"/>
        <color rgb="FFC00000"/>
      </colorScale>
    </cfRule>
  </conditionalFormatting>
  <conditionalFormatting sqref="F4:G4 N4:O4">
    <cfRule type="colorScale" priority="21">
      <colorScale>
        <cfvo type="num" val="1"/>
        <cfvo type="num" val="3"/>
        <cfvo type="num" val="5"/>
        <color theme="6" tint="-0.499984740745262"/>
        <color rgb="FFFFFF00"/>
        <color rgb="FFC00000"/>
      </colorScale>
    </cfRule>
  </conditionalFormatting>
  <conditionalFormatting sqref="G10:H12">
    <cfRule type="colorScale" priority="11">
      <colorScale>
        <cfvo type="num" val="1"/>
        <cfvo type="num" val="3"/>
        <cfvo type="num" val="5"/>
        <color theme="6" tint="-0.499984740745262"/>
        <color rgb="FFFFFF00"/>
        <color rgb="FFC00000"/>
      </colorScale>
    </cfRule>
  </conditionalFormatting>
  <conditionalFormatting sqref="N10:O12">
    <cfRule type="colorScale" priority="10">
      <colorScale>
        <cfvo type="num" val="1"/>
        <cfvo type="num" val="3"/>
        <cfvo type="num" val="5"/>
        <color theme="6" tint="-0.499984740745262"/>
        <color rgb="FFFFFF00"/>
        <color rgb="FFC00000"/>
      </colorScale>
    </cfRule>
  </conditionalFormatting>
  <conditionalFormatting sqref="I10:I12">
    <cfRule type="cellIs" dxfId="402" priority="6" operator="equal">
      <formula>"EXTREMA"</formula>
    </cfRule>
    <cfRule type="cellIs" dxfId="401" priority="7" operator="equal">
      <formula>"ALTA"</formula>
    </cfRule>
    <cfRule type="cellIs" dxfId="400" priority="8" operator="equal">
      <formula>"MODERADA"</formula>
    </cfRule>
    <cfRule type="cellIs" dxfId="399" priority="9" operator="equal">
      <formula>"BAJA"</formula>
    </cfRule>
  </conditionalFormatting>
  <conditionalFormatting sqref="P10:P12">
    <cfRule type="cellIs" dxfId="398" priority="2" operator="equal">
      <formula>"EXTREMA"</formula>
    </cfRule>
    <cfRule type="cellIs" dxfId="397" priority="3" operator="equal">
      <formula>"ALTA"</formula>
    </cfRule>
    <cfRule type="cellIs" dxfId="396" priority="4" operator="equal">
      <formula>"MODERADA"</formula>
    </cfRule>
    <cfRule type="cellIs" dxfId="395" priority="5" operator="equal">
      <formula>"BAJA"</formula>
    </cfRule>
  </conditionalFormatting>
  <conditionalFormatting sqref="F21:G23">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51181102362204722" top="0.55118110236220474" bottom="0.55118110236220474" header="0.31496062992125984" footer="0.31496062992125984"/>
  <pageSetup paperSize="5" scale="50"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800-000000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K10:K12</xm:sqref>
        </x14:dataValidation>
        <x14:dataValidation type="list" showInputMessage="1" showErrorMessage="1" xr:uid="{00000000-0002-0000-0800-000001000000}">
          <x14:formula1>
            <xm:f>'/Volumes/GoogleDrive/Mi unidad/COVID REPS/FEBRERO 2021/04 FEBRERO/E:\PLANEACIÓN HRQV\MAPA DE RIESGOS\EVALUACIÓN I SEMESTRE\SEGUIMIENTO MAPA DE RIESGOS\FINANCIERA\[Copia de Mapa de Riesgos  y seguimiento ajustado ACTUALIZADO entregado 24-07-2019.xlsx]Listas'!#REF!</xm:f>
          </x14:formula1>
          <xm:sqref>F10:F12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(1) Planeación</vt:lpstr>
      <vt:lpstr>(2) Control Interno</vt:lpstr>
      <vt:lpstr>(3) Juridica</vt:lpstr>
      <vt:lpstr>(4) Calidad</vt:lpstr>
      <vt:lpstr>(5) Talento Humano</vt:lpstr>
      <vt:lpstr>(6) Seguridad y Salud T</vt:lpstr>
      <vt:lpstr>(7) Sistemas</vt:lpstr>
      <vt:lpstr>(8) Gestión Documental</vt:lpstr>
      <vt:lpstr>(9) Cartera</vt:lpstr>
      <vt:lpstr>(10) Contabilidad</vt:lpstr>
      <vt:lpstr>(11) Presupuesto</vt:lpstr>
      <vt:lpstr>(12) Tesorería</vt:lpstr>
      <vt:lpstr>(13) Facturacion y glosas</vt:lpstr>
      <vt:lpstr>(14) Compras, bienes y suminis</vt:lpstr>
      <vt:lpstr>(15) Mantenimiento</vt:lpstr>
      <vt:lpstr>Evaluación Control Int</vt:lpstr>
      <vt:lpstr>Resumen</vt:lpstr>
      <vt:lpstr>Evolución</vt:lpstr>
      <vt:lpstr>Listas</vt:lpstr>
      <vt:lpstr>Impactos</vt:lpstr>
      <vt:lpstr>Idea Zonas</vt:lpstr>
      <vt:lpstr>Hoja1</vt:lpstr>
      <vt:lpstr>formatos pre</vt:lpstr>
      <vt:lpstr>'(3) Juridica'!Área_de_impresión</vt:lpstr>
      <vt:lpstr>Evolución!Área_de_impresión</vt:lpstr>
      <vt:lpstr>Impactos!Área_de_impresión</vt:lpstr>
      <vt:lpstr>Resumen!Área_de_impresión</vt:lpstr>
      <vt:lpstr>Listas!Criterios</vt:lpstr>
      <vt:lpstr>'(10) Contabilidad'!Títulos_a_imprimir</vt:lpstr>
      <vt:lpstr>'(11) Presupuesto'!Títulos_a_imprimir</vt:lpstr>
      <vt:lpstr>'(12) Tesorería'!Títulos_a_imprimir</vt:lpstr>
      <vt:lpstr>'(2) Control Interno'!Títulos_a_imprimir</vt:lpstr>
      <vt:lpstr>'(3) Juridica'!Títulos_a_imprimir</vt:lpstr>
      <vt:lpstr>'(5) Talento Humano'!Títulos_a_imprimir</vt:lpstr>
      <vt:lpstr>'(6) Seguridad y Salud T'!Títulos_a_imprimir</vt:lpstr>
      <vt:lpstr>'(7) Sistemas'!Títulos_a_imprimir</vt:lpstr>
      <vt:lpstr>'(8) Gestión Documental'!Títulos_a_imprimir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2021-02-25T15:40:06Z</dcterms:modified>
</cp:coreProperties>
</file>